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Communicationsandexternalrelations/External comms and relations/Publications drafting folder/"/>
    </mc:Choice>
  </mc:AlternateContent>
  <xr:revisionPtr revIDLastSave="797" documentId="8_{9647F832-E2B8-4BC9-B0B4-5AD8A2E18A5B}" xr6:coauthVersionLast="47" xr6:coauthVersionMax="47" xr10:uidLastSave="{925D15A1-AEA2-49E1-BDF0-C4B3CB815C64}"/>
  <bookViews>
    <workbookView xWindow="19090" yWindow="-800" windowWidth="25820" windowHeight="13900" xr2:uid="{00000000-000D-0000-FFFF-FFFF00000000}"/>
  </bookViews>
  <sheets>
    <sheet name="FTE" sheetId="7" r:id="rId1"/>
    <sheet name="Headcount" sheetId="6" r:id="rId2"/>
    <sheet name="Sheet2" sheetId="9" state="hidden" r:id="rId3"/>
    <sheet name="Colleges" sheetId="3" state="hidden" r:id="rId4"/>
    <sheet name="Sheet1" sheetId="8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11" i="7"/>
  <c r="H122" i="6"/>
  <c r="E122" i="6"/>
  <c r="D49" i="7" l="1"/>
  <c r="E49" i="7" s="1"/>
  <c r="D48" i="7"/>
  <c r="E48" i="7" s="1"/>
  <c r="D47" i="7"/>
  <c r="E47" i="7" s="1"/>
  <c r="D46" i="7"/>
  <c r="E46" i="7" s="1"/>
  <c r="F142" i="6" l="1"/>
  <c r="E142" i="6"/>
  <c r="D142" i="6"/>
  <c r="C142" i="6"/>
  <c r="G141" i="6"/>
  <c r="G140" i="6"/>
  <c r="C143" i="6" l="1"/>
  <c r="L113" i="6"/>
  <c r="F28" i="7"/>
  <c r="T51" i="6"/>
  <c r="D43" i="6" l="1"/>
  <c r="E44" i="6"/>
  <c r="F44" i="6"/>
  <c r="E43" i="6"/>
  <c r="F43" i="6"/>
  <c r="G43" i="6"/>
  <c r="E45" i="6" l="1"/>
  <c r="AB35" i="6"/>
  <c r="G44" i="6"/>
  <c r="D44" i="6"/>
  <c r="H24" i="6"/>
  <c r="H25" i="6"/>
  <c r="H26" i="6"/>
  <c r="H27" i="6"/>
  <c r="H28" i="6"/>
  <c r="H29" i="6"/>
  <c r="H30" i="6"/>
  <c r="H31" i="6"/>
  <c r="H32" i="6"/>
  <c r="H33" i="6"/>
  <c r="H34" i="6"/>
  <c r="H23" i="6"/>
  <c r="G28" i="7" l="1"/>
  <c r="G27" i="7"/>
  <c r="F27" i="7"/>
  <c r="F29" i="7" s="1"/>
  <c r="H21" i="7" l="1"/>
  <c r="H28" i="7"/>
  <c r="H27" i="7"/>
  <c r="G29" i="7" l="1"/>
  <c r="G26" i="7"/>
  <c r="F26" i="7"/>
  <c r="G23" i="7"/>
  <c r="H19" i="7" s="1"/>
  <c r="F23" i="7"/>
  <c r="G139" i="6" l="1"/>
  <c r="AB134" i="6"/>
  <c r="AB133" i="6"/>
  <c r="AB131" i="6"/>
  <c r="G136" i="6"/>
  <c r="AB129" i="6" l="1"/>
  <c r="AB130" i="6"/>
  <c r="G142" i="6"/>
  <c r="AB135" i="6" s="1"/>
  <c r="H29" i="7"/>
  <c r="G138" i="6" l="1"/>
  <c r="G137" i="6"/>
  <c r="G135" i="6"/>
  <c r="G134" i="6"/>
  <c r="G133" i="6"/>
  <c r="J124" i="6"/>
  <c r="H124" i="6"/>
  <c r="G124" i="6"/>
  <c r="E124" i="6"/>
  <c r="D124" i="6"/>
  <c r="H123" i="6"/>
  <c r="G123" i="6"/>
  <c r="E123" i="6"/>
  <c r="D123" i="6"/>
  <c r="G122" i="6"/>
  <c r="I122" i="6" s="1"/>
  <c r="D122" i="6"/>
  <c r="H121" i="6"/>
  <c r="G121" i="6"/>
  <c r="E121" i="6"/>
  <c r="D121" i="6"/>
  <c r="L120" i="6"/>
  <c r="I120" i="6"/>
  <c r="F120" i="6"/>
  <c r="L119" i="6"/>
  <c r="I119" i="6"/>
  <c r="F119" i="6"/>
  <c r="L118" i="6"/>
  <c r="I118" i="6"/>
  <c r="F118" i="6"/>
  <c r="L117" i="6"/>
  <c r="I117" i="6"/>
  <c r="F117" i="6"/>
  <c r="I116" i="6"/>
  <c r="L116" i="6" s="1"/>
  <c r="F116" i="6"/>
  <c r="I115" i="6"/>
  <c r="F115" i="6"/>
  <c r="L114" i="6"/>
  <c r="I114" i="6"/>
  <c r="F114" i="6"/>
  <c r="I113" i="6"/>
  <c r="F113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Y102" i="6"/>
  <c r="X102" i="6"/>
  <c r="W102" i="6"/>
  <c r="V102" i="6"/>
  <c r="U102" i="6"/>
  <c r="T102" i="6"/>
  <c r="S102" i="6"/>
  <c r="Y101" i="6"/>
  <c r="X101" i="6"/>
  <c r="W101" i="6"/>
  <c r="V101" i="6"/>
  <c r="U101" i="6"/>
  <c r="T101" i="6"/>
  <c r="S101" i="6"/>
  <c r="Y100" i="6"/>
  <c r="X100" i="6"/>
  <c r="W100" i="6"/>
  <c r="V100" i="6"/>
  <c r="U100" i="6"/>
  <c r="T100" i="6"/>
  <c r="S100" i="6"/>
  <c r="Y99" i="6"/>
  <c r="X99" i="6"/>
  <c r="W99" i="6"/>
  <c r="V99" i="6"/>
  <c r="U99" i="6"/>
  <c r="T99" i="6"/>
  <c r="S99" i="6"/>
  <c r="Y98" i="6"/>
  <c r="X98" i="6"/>
  <c r="W98" i="6"/>
  <c r="V98" i="6"/>
  <c r="U98" i="6"/>
  <c r="T98" i="6"/>
  <c r="S98" i="6"/>
  <c r="Y97" i="6"/>
  <c r="X97" i="6"/>
  <c r="W97" i="6"/>
  <c r="V97" i="6"/>
  <c r="U97" i="6"/>
  <c r="T97" i="6"/>
  <c r="S97" i="6"/>
  <c r="Y96" i="6"/>
  <c r="X96" i="6"/>
  <c r="W96" i="6"/>
  <c r="V96" i="6"/>
  <c r="U96" i="6"/>
  <c r="T96" i="6"/>
  <c r="S96" i="6"/>
  <c r="Y95" i="6"/>
  <c r="X95" i="6"/>
  <c r="W95" i="6"/>
  <c r="V95" i="6"/>
  <c r="U95" i="6"/>
  <c r="T95" i="6"/>
  <c r="S95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Y89" i="6"/>
  <c r="X89" i="6"/>
  <c r="W89" i="6"/>
  <c r="V89" i="6"/>
  <c r="U89" i="6"/>
  <c r="T89" i="6"/>
  <c r="S89" i="6"/>
  <c r="Y88" i="6"/>
  <c r="X88" i="6"/>
  <c r="W88" i="6"/>
  <c r="V88" i="6"/>
  <c r="U88" i="6"/>
  <c r="T88" i="6"/>
  <c r="S88" i="6"/>
  <c r="Y87" i="6"/>
  <c r="X87" i="6"/>
  <c r="W87" i="6"/>
  <c r="V87" i="6"/>
  <c r="U87" i="6"/>
  <c r="T87" i="6"/>
  <c r="S87" i="6"/>
  <c r="Y86" i="6"/>
  <c r="X86" i="6"/>
  <c r="W86" i="6"/>
  <c r="V86" i="6"/>
  <c r="U86" i="6"/>
  <c r="T86" i="6"/>
  <c r="S86" i="6"/>
  <c r="Y85" i="6"/>
  <c r="X85" i="6"/>
  <c r="W85" i="6"/>
  <c r="V85" i="6"/>
  <c r="U85" i="6"/>
  <c r="T85" i="6"/>
  <c r="S85" i="6"/>
  <c r="Y84" i="6"/>
  <c r="X84" i="6"/>
  <c r="W84" i="6"/>
  <c r="V84" i="6"/>
  <c r="U84" i="6"/>
  <c r="T84" i="6"/>
  <c r="S84" i="6"/>
  <c r="Y83" i="6"/>
  <c r="X83" i="6"/>
  <c r="W83" i="6"/>
  <c r="V83" i="6"/>
  <c r="U83" i="6"/>
  <c r="T83" i="6"/>
  <c r="S83" i="6"/>
  <c r="Y82" i="6"/>
  <c r="X82" i="6"/>
  <c r="W82" i="6"/>
  <c r="V82" i="6"/>
  <c r="U82" i="6"/>
  <c r="T82" i="6"/>
  <c r="S82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Y71" i="6"/>
  <c r="X71" i="6"/>
  <c r="W71" i="6"/>
  <c r="V71" i="6"/>
  <c r="U71" i="6"/>
  <c r="T71" i="6"/>
  <c r="S71" i="6"/>
  <c r="Y70" i="6"/>
  <c r="X70" i="6"/>
  <c r="W70" i="6"/>
  <c r="V70" i="6"/>
  <c r="U70" i="6"/>
  <c r="T70" i="6"/>
  <c r="S70" i="6"/>
  <c r="Y69" i="6"/>
  <c r="X69" i="6"/>
  <c r="W69" i="6"/>
  <c r="V69" i="6"/>
  <c r="U69" i="6"/>
  <c r="T69" i="6"/>
  <c r="S69" i="6"/>
  <c r="Y68" i="6"/>
  <c r="X68" i="6"/>
  <c r="W68" i="6"/>
  <c r="V68" i="6"/>
  <c r="U68" i="6"/>
  <c r="T68" i="6"/>
  <c r="S68" i="6"/>
  <c r="Y67" i="6"/>
  <c r="X67" i="6"/>
  <c r="W67" i="6"/>
  <c r="V67" i="6"/>
  <c r="U67" i="6"/>
  <c r="T67" i="6"/>
  <c r="S67" i="6"/>
  <c r="Y66" i="6"/>
  <c r="X66" i="6"/>
  <c r="W66" i="6"/>
  <c r="V66" i="6"/>
  <c r="U66" i="6"/>
  <c r="T66" i="6"/>
  <c r="S66" i="6"/>
  <c r="Y65" i="6"/>
  <c r="X65" i="6"/>
  <c r="W65" i="6"/>
  <c r="V65" i="6"/>
  <c r="U65" i="6"/>
  <c r="T65" i="6"/>
  <c r="S65" i="6"/>
  <c r="Y64" i="6"/>
  <c r="X64" i="6"/>
  <c r="W64" i="6"/>
  <c r="V64" i="6"/>
  <c r="U64" i="6"/>
  <c r="T64" i="6"/>
  <c r="S64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Y58" i="6"/>
  <c r="X58" i="6"/>
  <c r="W58" i="6"/>
  <c r="V58" i="6"/>
  <c r="U58" i="6"/>
  <c r="T58" i="6"/>
  <c r="S58" i="6"/>
  <c r="Y57" i="6"/>
  <c r="X57" i="6"/>
  <c r="W57" i="6"/>
  <c r="V57" i="6"/>
  <c r="U57" i="6"/>
  <c r="T57" i="6"/>
  <c r="S57" i="6"/>
  <c r="Y56" i="6"/>
  <c r="X56" i="6"/>
  <c r="W56" i="6"/>
  <c r="V56" i="6"/>
  <c r="U56" i="6"/>
  <c r="T56" i="6"/>
  <c r="S56" i="6"/>
  <c r="Y55" i="6"/>
  <c r="X55" i="6"/>
  <c r="W55" i="6"/>
  <c r="V55" i="6"/>
  <c r="U55" i="6"/>
  <c r="T55" i="6"/>
  <c r="T59" i="6" s="1"/>
  <c r="S55" i="6"/>
  <c r="Y54" i="6"/>
  <c r="X54" i="6"/>
  <c r="W54" i="6"/>
  <c r="V54" i="6"/>
  <c r="U54" i="6"/>
  <c r="T54" i="6"/>
  <c r="S54" i="6"/>
  <c r="Y53" i="6"/>
  <c r="X53" i="6"/>
  <c r="W53" i="6"/>
  <c r="V53" i="6"/>
  <c r="U53" i="6"/>
  <c r="T53" i="6"/>
  <c r="S53" i="6"/>
  <c r="Y52" i="6"/>
  <c r="X52" i="6"/>
  <c r="W52" i="6"/>
  <c r="V52" i="6"/>
  <c r="U52" i="6"/>
  <c r="T52" i="6"/>
  <c r="S52" i="6"/>
  <c r="Y51" i="6"/>
  <c r="X51" i="6"/>
  <c r="W51" i="6"/>
  <c r="V51" i="6"/>
  <c r="U51" i="6"/>
  <c r="S51" i="6"/>
  <c r="H42" i="6"/>
  <c r="H41" i="6"/>
  <c r="H40" i="6"/>
  <c r="H39" i="6"/>
  <c r="H38" i="6"/>
  <c r="H37" i="6"/>
  <c r="H36" i="6"/>
  <c r="H35" i="6"/>
  <c r="H25" i="7"/>
  <c r="H24" i="7"/>
  <c r="H22" i="7"/>
  <c r="H23" i="7" s="1"/>
  <c r="I124" i="6" l="1"/>
  <c r="I121" i="6"/>
  <c r="K123" i="6"/>
  <c r="F124" i="6"/>
  <c r="I123" i="6"/>
  <c r="K122" i="6"/>
  <c r="J123" i="6"/>
  <c r="F123" i="6"/>
  <c r="K121" i="6"/>
  <c r="J121" i="6"/>
  <c r="F121" i="6"/>
  <c r="J122" i="6"/>
  <c r="F122" i="6"/>
  <c r="V59" i="6"/>
  <c r="K124" i="6"/>
  <c r="L115" i="6"/>
  <c r="S106" i="6"/>
  <c r="T105" i="6"/>
  <c r="Y91" i="6"/>
  <c r="S91" i="6"/>
  <c r="X72" i="6"/>
  <c r="U90" i="6"/>
  <c r="Y92" i="6"/>
  <c r="X62" i="6"/>
  <c r="S61" i="6"/>
  <c r="T90" i="6"/>
  <c r="W93" i="6"/>
  <c r="Y62" i="6"/>
  <c r="U104" i="6"/>
  <c r="Y106" i="6"/>
  <c r="W103" i="6"/>
  <c r="S90" i="6"/>
  <c r="T91" i="6"/>
  <c r="X92" i="6"/>
  <c r="U75" i="6"/>
  <c r="V74" i="6"/>
  <c r="T61" i="6"/>
  <c r="Y72" i="6"/>
  <c r="W74" i="6"/>
  <c r="X106" i="6"/>
  <c r="X91" i="6"/>
  <c r="U62" i="6"/>
  <c r="T72" i="6"/>
  <c r="T92" i="6"/>
  <c r="W60" i="6"/>
  <c r="S73" i="6"/>
  <c r="W75" i="6"/>
  <c r="V90" i="6"/>
  <c r="Y93" i="6"/>
  <c r="X103" i="6"/>
  <c r="V105" i="6"/>
  <c r="W61" i="6"/>
  <c r="Y74" i="6"/>
  <c r="W90" i="6"/>
  <c r="U92" i="6"/>
  <c r="X104" i="6"/>
  <c r="W105" i="6"/>
  <c r="X59" i="6"/>
  <c r="Y73" i="6"/>
  <c r="S93" i="6"/>
  <c r="W104" i="6"/>
  <c r="X61" i="6"/>
  <c r="U73" i="6"/>
  <c r="Y75" i="6"/>
  <c r="X90" i="6"/>
  <c r="U93" i="6"/>
  <c r="T103" i="6"/>
  <c r="S104" i="6"/>
  <c r="Y104" i="6"/>
  <c r="X105" i="6"/>
  <c r="W106" i="6"/>
  <c r="U105" i="6"/>
  <c r="T106" i="6"/>
  <c r="V92" i="6"/>
  <c r="U91" i="6"/>
  <c r="T75" i="6"/>
  <c r="T73" i="6"/>
  <c r="Y60" i="6"/>
  <c r="W59" i="6"/>
  <c r="S59" i="6"/>
  <c r="H26" i="7"/>
  <c r="U106" i="6"/>
  <c r="S105" i="6"/>
  <c r="Y103" i="6"/>
  <c r="V104" i="6"/>
  <c r="V103" i="6"/>
  <c r="Y90" i="6"/>
  <c r="V93" i="6"/>
  <c r="V91" i="6"/>
  <c r="X93" i="6"/>
  <c r="W92" i="6"/>
  <c r="W91" i="6"/>
  <c r="T93" i="6"/>
  <c r="S92" i="6"/>
  <c r="X75" i="6"/>
  <c r="X73" i="6"/>
  <c r="W73" i="6"/>
  <c r="V75" i="6"/>
  <c r="V73" i="6"/>
  <c r="U74" i="6"/>
  <c r="U72" i="6"/>
  <c r="S75" i="6"/>
  <c r="S74" i="6"/>
  <c r="X60" i="6"/>
  <c r="U60" i="6"/>
  <c r="T60" i="6"/>
  <c r="T62" i="6"/>
  <c r="S60" i="6"/>
  <c r="G45" i="6"/>
  <c r="F45" i="6"/>
  <c r="F46" i="6" s="1"/>
  <c r="U103" i="6"/>
  <c r="Y105" i="6"/>
  <c r="T104" i="6"/>
  <c r="V106" i="6"/>
  <c r="AD56" i="6"/>
  <c r="AB36" i="6"/>
  <c r="AB54" i="6"/>
  <c r="D44" i="7" s="1"/>
  <c r="E44" i="7" s="1"/>
  <c r="AB17" i="6"/>
  <c r="U61" i="6"/>
  <c r="Y61" i="6"/>
  <c r="V62" i="6"/>
  <c r="AB51" i="6"/>
  <c r="V61" i="6"/>
  <c r="AD53" i="6"/>
  <c r="AD84" i="6"/>
  <c r="AB18" i="6"/>
  <c r="AB21" i="6"/>
  <c r="U59" i="6"/>
  <c r="Y59" i="6"/>
  <c r="V60" i="6"/>
  <c r="S62" i="6"/>
  <c r="W62" i="6"/>
  <c r="AD51" i="6"/>
  <c r="AD54" i="6"/>
  <c r="H49" i="7" s="1"/>
  <c r="AB19" i="6"/>
  <c r="H44" i="6"/>
  <c r="AB22" i="6"/>
  <c r="AB56" i="6"/>
  <c r="AB55" i="6"/>
  <c r="AB20" i="6"/>
  <c r="D45" i="6"/>
  <c r="D46" i="6" s="1"/>
  <c r="H43" i="6"/>
  <c r="AB53" i="6"/>
  <c r="AB50" i="6"/>
  <c r="D42" i="7" s="1"/>
  <c r="E42" i="7" s="1"/>
  <c r="AD55" i="6"/>
  <c r="AD50" i="6"/>
  <c r="S103" i="6"/>
  <c r="AD83" i="6"/>
  <c r="V72" i="6"/>
  <c r="AB83" i="6"/>
  <c r="AB84" i="6"/>
  <c r="E143" i="6"/>
  <c r="AB132" i="6" s="1"/>
  <c r="S72" i="6"/>
  <c r="W72" i="6"/>
  <c r="T74" i="6"/>
  <c r="X74" i="6"/>
  <c r="Z93" i="6" l="1"/>
  <c r="Z106" i="6"/>
  <c r="Z75" i="6"/>
  <c r="Z62" i="6"/>
  <c r="L123" i="6"/>
  <c r="L122" i="6"/>
  <c r="AB115" i="6"/>
  <c r="E160" i="6" s="1"/>
  <c r="AB116" i="6"/>
  <c r="H162" i="6" s="1"/>
  <c r="G162" i="6" s="1"/>
  <c r="L121" i="6"/>
  <c r="H45" i="7"/>
  <c r="D45" i="7"/>
  <c r="E45" i="7" s="1"/>
  <c r="H43" i="7"/>
  <c r="D43" i="7"/>
  <c r="E43" i="7" s="1"/>
  <c r="D40" i="7"/>
  <c r="E40" i="7" s="1"/>
  <c r="D38" i="7"/>
  <c r="E38" i="7" s="1"/>
  <c r="D41" i="7"/>
  <c r="E41" i="7" s="1"/>
  <c r="D39" i="7"/>
  <c r="E39" i="7" s="1"/>
  <c r="AB80" i="6"/>
  <c r="L124" i="6"/>
  <c r="AD49" i="6"/>
  <c r="AB82" i="6"/>
  <c r="AB48" i="6"/>
  <c r="AD91" i="6"/>
  <c r="AB65" i="6"/>
  <c r="AD66" i="6"/>
  <c r="AB87" i="6"/>
  <c r="AB88" i="6"/>
  <c r="AD92" i="6"/>
  <c r="AB89" i="6"/>
  <c r="AD93" i="6"/>
  <c r="AD88" i="6"/>
  <c r="AB64" i="6"/>
  <c r="AD89" i="6"/>
  <c r="AB90" i="6"/>
  <c r="AD61" i="6"/>
  <c r="AB81" i="6"/>
  <c r="AB93" i="6"/>
  <c r="AD64" i="6"/>
  <c r="AB91" i="6"/>
  <c r="AB86" i="6"/>
  <c r="AB85" i="6"/>
  <c r="AB92" i="6"/>
  <c r="AD62" i="6"/>
  <c r="AD58" i="6"/>
  <c r="E174" i="6" s="1"/>
  <c r="AD65" i="6"/>
  <c r="AB59" i="6"/>
  <c r="AD82" i="6"/>
  <c r="AB114" i="6"/>
  <c r="H177" i="6"/>
  <c r="G177" i="6" s="1"/>
  <c r="AD90" i="6"/>
  <c r="AD86" i="6"/>
  <c r="H45" i="6"/>
  <c r="D177" i="6"/>
  <c r="AB61" i="6"/>
  <c r="AB66" i="6"/>
  <c r="AB113" i="6"/>
  <c r="AB52" i="6"/>
  <c r="AB49" i="6"/>
  <c r="AB58" i="6"/>
  <c r="E177" i="6"/>
  <c r="AB62" i="6"/>
  <c r="AD52" i="6"/>
  <c r="AD87" i="6"/>
  <c r="AD80" i="6"/>
  <c r="AD85" i="6"/>
  <c r="AD81" i="6"/>
  <c r="H176" i="6"/>
  <c r="G176" i="6" s="1"/>
  <c r="E176" i="6"/>
  <c r="D176" i="6"/>
  <c r="H159" i="6"/>
  <c r="G159" i="6" s="1"/>
  <c r="E159" i="6"/>
  <c r="D159" i="6"/>
  <c r="AD60" i="6"/>
  <c r="AB60" i="6"/>
  <c r="AB57" i="6"/>
  <c r="D155" i="6" s="1"/>
  <c r="AD48" i="6"/>
  <c r="AD59" i="6"/>
  <c r="AD57" i="6"/>
  <c r="H161" i="6"/>
  <c r="G161" i="6" s="1"/>
  <c r="E161" i="6"/>
  <c r="D161" i="6"/>
  <c r="E150" i="6" l="1"/>
  <c r="L125" i="6"/>
  <c r="H160" i="6"/>
  <c r="G160" i="6" s="1"/>
  <c r="D151" i="6"/>
  <c r="D162" i="6"/>
  <c r="E162" i="6"/>
  <c r="D160" i="6"/>
  <c r="AB112" i="6"/>
  <c r="E187" i="6" s="1"/>
  <c r="E182" i="6"/>
  <c r="E168" i="6"/>
  <c r="E184" i="6"/>
  <c r="D163" i="6"/>
  <c r="H184" i="6"/>
  <c r="G184" i="6" s="1"/>
  <c r="D184" i="6"/>
  <c r="H183" i="6"/>
  <c r="G183" i="6" s="1"/>
  <c r="H168" i="6"/>
  <c r="G168" i="6" s="1"/>
  <c r="H165" i="6"/>
  <c r="G165" i="6" s="1"/>
  <c r="H185" i="6"/>
  <c r="G185" i="6" s="1"/>
  <c r="E188" i="6"/>
  <c r="D189" i="6"/>
  <c r="D188" i="6"/>
  <c r="H180" i="6"/>
  <c r="G180" i="6" s="1"/>
  <c r="D180" i="6"/>
  <c r="H166" i="6"/>
  <c r="G166" i="6" s="1"/>
  <c r="H182" i="6"/>
  <c r="G182" i="6" s="1"/>
  <c r="E180" i="6"/>
  <c r="D167" i="6"/>
  <c r="D169" i="6"/>
  <c r="D182" i="6"/>
  <c r="H151" i="6"/>
  <c r="G151" i="6" s="1"/>
  <c r="H163" i="6"/>
  <c r="G163" i="6" s="1"/>
  <c r="E163" i="6"/>
  <c r="H167" i="6"/>
  <c r="G167" i="6" s="1"/>
  <c r="D168" i="6"/>
  <c r="E167" i="6"/>
  <c r="H158" i="6"/>
  <c r="G158" i="6" s="1"/>
  <c r="H153" i="6"/>
  <c r="G153" i="6" s="1"/>
  <c r="H154" i="6"/>
  <c r="G154" i="6" s="1"/>
  <c r="D183" i="6"/>
  <c r="E183" i="6"/>
  <c r="D181" i="6"/>
  <c r="H175" i="6"/>
  <c r="G175" i="6" s="1"/>
  <c r="H174" i="6"/>
  <c r="G174" i="6" s="1"/>
  <c r="D174" i="6"/>
  <c r="E171" i="6"/>
  <c r="D154" i="6"/>
  <c r="E181" i="6"/>
  <c r="E154" i="6"/>
  <c r="E149" i="6"/>
  <c r="D171" i="6"/>
  <c r="H171" i="6"/>
  <c r="G171" i="6" s="1"/>
  <c r="H169" i="6"/>
  <c r="G169" i="6" s="1"/>
  <c r="D175" i="6"/>
  <c r="H181" i="6"/>
  <c r="G181" i="6" s="1"/>
  <c r="D150" i="6"/>
  <c r="E175" i="6"/>
  <c r="H152" i="6"/>
  <c r="G152" i="6" s="1"/>
  <c r="D165" i="6"/>
  <c r="D152" i="6"/>
  <c r="H149" i="6"/>
  <c r="G149" i="6" s="1"/>
  <c r="H150" i="6"/>
  <c r="G150" i="6" s="1"/>
  <c r="E151" i="6"/>
  <c r="E165" i="6"/>
  <c r="I143" i="6"/>
  <c r="I129" i="6" s="1"/>
  <c r="E169" i="6"/>
  <c r="E152" i="6"/>
  <c r="D153" i="6"/>
  <c r="E153" i="6"/>
  <c r="E157" i="6"/>
  <c r="D158" i="6"/>
  <c r="D149" i="6"/>
  <c r="D157" i="6"/>
  <c r="E166" i="6"/>
  <c r="E158" i="6"/>
  <c r="H157" i="6"/>
  <c r="G157" i="6" s="1"/>
  <c r="D166" i="6"/>
  <c r="H173" i="6"/>
  <c r="G173" i="6" s="1"/>
  <c r="E173" i="6"/>
  <c r="D173" i="6"/>
  <c r="D172" i="6"/>
  <c r="H172" i="6"/>
  <c r="G172" i="6" s="1"/>
  <c r="E172" i="6"/>
  <c r="H188" i="6"/>
  <c r="G188" i="6" s="1"/>
  <c r="H186" i="6"/>
  <c r="G186" i="6" s="1"/>
  <c r="E186" i="6"/>
  <c r="D186" i="6"/>
  <c r="D185" i="6"/>
  <c r="E185" i="6"/>
  <c r="H156" i="6"/>
  <c r="G156" i="6" s="1"/>
  <c r="E156" i="6"/>
  <c r="D156" i="6"/>
  <c r="E155" i="6"/>
  <c r="H164" i="6"/>
  <c r="G164" i="6" s="1"/>
  <c r="E164" i="6"/>
  <c r="D164" i="6"/>
  <c r="H179" i="6"/>
  <c r="G179" i="6" s="1"/>
  <c r="E179" i="6"/>
  <c r="D179" i="6"/>
  <c r="H155" i="6"/>
  <c r="G155" i="6" s="1"/>
  <c r="H170" i="6"/>
  <c r="G170" i="6" s="1"/>
  <c r="E170" i="6"/>
  <c r="D170" i="6"/>
  <c r="H178" i="6"/>
  <c r="G178" i="6" s="1"/>
  <c r="E178" i="6"/>
  <c r="D178" i="6"/>
  <c r="H189" i="6"/>
  <c r="E189" i="6"/>
  <c r="H50" i="7"/>
  <c r="H51" i="7"/>
  <c r="G51" i="7" s="1"/>
  <c r="D51" i="7"/>
  <c r="E51" i="7" s="1"/>
  <c r="H187" i="6" l="1"/>
  <c r="G187" i="6" s="1"/>
  <c r="D187" i="6"/>
  <c r="G146" i="6"/>
  <c r="G43" i="7"/>
  <c r="H42" i="7"/>
  <c r="G42" i="7" s="1"/>
  <c r="G49" i="7"/>
  <c r="H38" i="7"/>
  <c r="G38" i="7" s="1"/>
  <c r="H46" i="7"/>
  <c r="G46" i="7" s="1"/>
  <c r="H48" i="7"/>
  <c r="G48" i="7" s="1"/>
  <c r="H47" i="7"/>
  <c r="G47" i="7" s="1"/>
  <c r="H44" i="7"/>
  <c r="G44" i="7" s="1"/>
  <c r="G45" i="7"/>
  <c r="G50" i="7"/>
  <c r="D50" i="7"/>
  <c r="E50" i="7" s="1"/>
  <c r="G145" i="6" l="1"/>
  <c r="K16" i="6"/>
  <c r="J17" i="6"/>
  <c r="K145" i="6"/>
  <c r="K19" i="6" s="1"/>
  <c r="K146" i="6"/>
  <c r="K17" i="6" s="1"/>
  <c r="J19" i="6"/>
  <c r="H40" i="7"/>
  <c r="G40" i="7" s="1"/>
  <c r="H39" i="7"/>
  <c r="G39" i="7" s="1"/>
  <c r="H41" i="7"/>
  <c r="G41" i="7" s="1"/>
  <c r="J35" i="7" l="1"/>
  <c r="G35" i="7"/>
  <c r="L19" i="7" s="1"/>
  <c r="J34" i="7"/>
  <c r="L24" i="7" l="1"/>
  <c r="G34" i="7"/>
  <c r="L21" i="7"/>
  <c r="K24" i="7"/>
  <c r="K21" i="7"/>
</calcChain>
</file>

<file path=xl/sharedStrings.xml><?xml version="1.0" encoding="utf-8"?>
<sst xmlns="http://schemas.openxmlformats.org/spreadsheetml/2006/main" count="611" uniqueCount="276">
  <si>
    <t>Institution name:</t>
  </si>
  <si>
    <t>Argyll College UHI</t>
  </si>
  <si>
    <t xml:space="preserve">Contact name: </t>
  </si>
  <si>
    <t>Institution Code:</t>
  </si>
  <si>
    <t>Email:</t>
  </si>
  <si>
    <r>
      <t xml:space="preserve">1.  Please complete all fields highlighted </t>
    </r>
    <r>
      <rPr>
        <b/>
        <sz val="14"/>
        <color rgb="FFBC91C6"/>
        <rFont val="Calibri"/>
        <family val="2"/>
        <scheme val="minor"/>
      </rPr>
      <t>PURPLE</t>
    </r>
  </si>
  <si>
    <t>2. Staff working less than 10% FTE should be excluded</t>
  </si>
  <si>
    <t>datareturns@sfc.ac.uk</t>
  </si>
  <si>
    <t>Table 1:Type of Contract</t>
  </si>
  <si>
    <t>Staff Status</t>
  </si>
  <si>
    <t>Number of staff (FTE)</t>
  </si>
  <si>
    <t>Teaching</t>
  </si>
  <si>
    <t>Non-teaching (support)</t>
  </si>
  <si>
    <t>Total</t>
  </si>
  <si>
    <t>All Staff</t>
  </si>
  <si>
    <t>ERROR REPORT</t>
  </si>
  <si>
    <t>Table 2: Number of all Staff (FTE)</t>
  </si>
  <si>
    <t>Permanent</t>
  </si>
  <si>
    <t>Full-time</t>
  </si>
  <si>
    <t xml:space="preserve">Part-time </t>
  </si>
  <si>
    <t>Temporary</t>
  </si>
  <si>
    <t>Part-time</t>
  </si>
  <si>
    <t>Permanent and Temporary</t>
  </si>
  <si>
    <t>ERRORS</t>
  </si>
  <si>
    <t>FTE vs Headcount</t>
  </si>
  <si>
    <t>Teaching FTE vs Teaching Headcount</t>
  </si>
  <si>
    <t>Table 1 (FTE) and Table 1 (Headcount)</t>
  </si>
  <si>
    <t>Teaching FTE must not be greater than headcount in Headcount table 1.  Check F19 and Headcount D43 to E44</t>
  </si>
  <si>
    <t>AB17</t>
  </si>
  <si>
    <t>Non-Teaching FTE vs Non-Teaching Headcount</t>
  </si>
  <si>
    <t>Non-teaching FTE must not be greater than headcount in Headcount table 1.  Check G19 and Headcount F43 to G44</t>
  </si>
  <si>
    <t>AB22</t>
  </si>
  <si>
    <t>Teaching headcount in Headcount, D43 to E44 but no FTE in F19</t>
  </si>
  <si>
    <t>Non-teaching headcount in Headcount, F43 to G44 but no FTE in G19</t>
  </si>
  <si>
    <t>Full-time Permanent Teaching FTE vs Full-time Permanent Teaching Headcount</t>
  </si>
  <si>
    <t>Table 2 (FTE) and Table 2 (Headcount)</t>
  </si>
  <si>
    <t>Full-time permanent teaching FTE must not be greater than headcount in Headcount table 2.  Check F21 and Headcount S51 to Y52</t>
  </si>
  <si>
    <t>AB50</t>
  </si>
  <si>
    <t>Part-time Permanent Teaching FTE vs Part-time Permanent Teaching Headcount</t>
  </si>
  <si>
    <t>Part-time permanent teaching FTE must not be greater than headcount in Headcount table 2.  Check F22 and Headcount S55 to Y56</t>
  </si>
  <si>
    <t>AB51</t>
  </si>
  <si>
    <t>Full-time Temporary Teaching FTE vs Full-time Temporary Teaching Headcount</t>
  </si>
  <si>
    <t>Full-time temporary teaching FTE must not be greater than headcount in Headcount table 2.  Check F24 and Headcount S53 to Y54</t>
  </si>
  <si>
    <t>AB53</t>
  </si>
  <si>
    <t>Part-time Temporary Teaching FTE vs Part-time Temporary Teaching Headcount</t>
  </si>
  <si>
    <t>Part-time temporary teaching FTE must not be greater than headcount in Headcount table 2.  Check F25 and Headcount S57 to Y58</t>
  </si>
  <si>
    <t>AB54</t>
  </si>
  <si>
    <t>Full-time Permanent Non-Teaching FTE vs Full-time Permanent Non-Teaching Headcount</t>
  </si>
  <si>
    <t>Full-time permanent non-teaching FTE must not be greater than headcount in Headcount table 2.  Check G21 and Headcount S64 to Y65</t>
  </si>
  <si>
    <t>AD50</t>
  </si>
  <si>
    <t>Part-time Permanent Non-Teaching FTE vs Part-time Permanent Non-Teaching Headcount</t>
  </si>
  <si>
    <t>Part-time permanent non-teaching FTE must not be greater than headcount in Headcount table 2.  Check G22 and Headcount S68 to Y69</t>
  </si>
  <si>
    <t>AD51</t>
  </si>
  <si>
    <t>Full-time Temporary Non-Teaching FTE vs Full-time Temporary Non-Teaching Headcount</t>
  </si>
  <si>
    <t>Full-time temporary non-teaching FTE must not be greater than headcount in Headcount table 2.  Check G24 and Headcount S66 to Y67</t>
  </si>
  <si>
    <t>AD53</t>
  </si>
  <si>
    <t>Part-time Temporary Non-Teaching FTE vs Part-time Temporary Non-Teaching Headcount</t>
  </si>
  <si>
    <t>Part-time temporary non-teaching FTE must not be greater than headcount in Headcount table 2.  Check G25 and Headcount S70 to Y71</t>
  </si>
  <si>
    <t>AD54</t>
  </si>
  <si>
    <t>FTE</t>
  </si>
  <si>
    <t>Teaching FTE</t>
  </si>
  <si>
    <t>Table 1 and Table 2</t>
  </si>
  <si>
    <t>Teaching FTE total must be the same in table 1 and table 2(within + or - 0.2), see F29 and F19</t>
  </si>
  <si>
    <t>Non-Teaching FTE</t>
  </si>
  <si>
    <t>Non-teaching FTE total must be the same in table 1 and table 2(within + or - 0.2), see G29 and G19</t>
  </si>
  <si>
    <t>Table 1: All staff (headcount) by age range, sex and employment category (teaching/senior management/other)</t>
  </si>
  <si>
    <t>Age range 
(years of age)</t>
  </si>
  <si>
    <t>Gender</t>
  </si>
  <si>
    <t>Employment category</t>
  </si>
  <si>
    <t>Table 1</t>
  </si>
  <si>
    <t>Barony College</t>
  </si>
  <si>
    <t>Borders College</t>
  </si>
  <si>
    <t>Permanent Teaching</t>
  </si>
  <si>
    <t>Cardonald College</t>
  </si>
  <si>
    <t>Senior management</t>
  </si>
  <si>
    <t>Other</t>
  </si>
  <si>
    <t>Temporary Teaching</t>
  </si>
  <si>
    <t>Carnegie College</t>
  </si>
  <si>
    <t>Male Teaching</t>
  </si>
  <si>
    <t>City of Glasgow College</t>
  </si>
  <si>
    <t>Female Teaching</t>
  </si>
  <si>
    <t>Clydebank College</t>
  </si>
  <si>
    <t>Non-Teaching</t>
  </si>
  <si>
    <t>Coatbridge College</t>
  </si>
  <si>
    <t>24 &amp; under</t>
  </si>
  <si>
    <t>Male</t>
  </si>
  <si>
    <t>Female</t>
  </si>
  <si>
    <t>25 - 30</t>
  </si>
  <si>
    <t>31 - 35</t>
  </si>
  <si>
    <t>36 - 40</t>
  </si>
  <si>
    <t>41 - 45</t>
  </si>
  <si>
    <t>46 - 50</t>
  </si>
  <si>
    <t>51 - 55</t>
  </si>
  <si>
    <t>Male Non-Teaching</t>
  </si>
  <si>
    <t>Cumbernauld College</t>
  </si>
  <si>
    <t>Female Non-Teaching</t>
  </si>
  <si>
    <t>Dumfries &amp; Galloway College</t>
  </si>
  <si>
    <t>56 - 60</t>
  </si>
  <si>
    <t>Dundee College</t>
  </si>
  <si>
    <t>Edinburgh's Telford College</t>
  </si>
  <si>
    <t>61 - 65</t>
  </si>
  <si>
    <t>Elmwood College</t>
  </si>
  <si>
    <t>Forth Valley College</t>
  </si>
  <si>
    <t>66 &amp; over</t>
  </si>
  <si>
    <t>Inverness College</t>
  </si>
  <si>
    <t>James Watt College of Further &amp; Higher Education</t>
  </si>
  <si>
    <t>Jewel and Esk College</t>
  </si>
  <si>
    <t>John Wheatley College</t>
  </si>
  <si>
    <t>Overall Totals</t>
  </si>
  <si>
    <t>Table 2:  Staff headcount by mode of employment (FT, PT), terms of employment (perm/temp), gender, ethnicity (BEM/Other) and salary range</t>
  </si>
  <si>
    <t>Mode of employment</t>
  </si>
  <si>
    <t>Terms of employment</t>
  </si>
  <si>
    <t>Ethnicity</t>
  </si>
  <si>
    <t>Table 2</t>
  </si>
  <si>
    <t>Lews Castle College</t>
  </si>
  <si>
    <t>Black and ethnic minority</t>
  </si>
  <si>
    <t>Other ethnicity</t>
  </si>
  <si>
    <t>Moray College</t>
  </si>
  <si>
    <t>Salary</t>
  </si>
  <si>
    <t>Permanent Non-Teaching</t>
  </si>
  <si>
    <t>Motherwell College</t>
  </si>
  <si>
    <t>£15,000 
or less</t>
  </si>
  <si>
    <t>£15,001 to £20,000</t>
  </si>
  <si>
    <t>£20,001 to £30,000</t>
  </si>
  <si>
    <t>£30,001 to £50,000</t>
  </si>
  <si>
    <t>£50,001 to £75,000</t>
  </si>
  <si>
    <t>£75,001 
to £100,000</t>
  </si>
  <si>
    <t>greater 
than £100,000</t>
  </si>
  <si>
    <t>£75,001 to £100,000</t>
  </si>
  <si>
    <t>greater than £100,000</t>
  </si>
  <si>
    <t>Full-Time Permanent Teaching</t>
  </si>
  <si>
    <t>Full-Time Permanent Non-Teaching</t>
  </si>
  <si>
    <t>North Glasgow College</t>
  </si>
  <si>
    <t>Part-Time Permanent Teaching</t>
  </si>
  <si>
    <t>Part-Time Permanent Non-Teaching</t>
  </si>
  <si>
    <t>Oatridge College</t>
  </si>
  <si>
    <t>Temporary Non-Teaching</t>
  </si>
  <si>
    <t>Perth College</t>
  </si>
  <si>
    <t>Full-Time Temporary Teaching</t>
  </si>
  <si>
    <t>Full-Time Temporary Non-Teaching</t>
  </si>
  <si>
    <t>Reid Kerr College</t>
  </si>
  <si>
    <t>Part-Time Temporary Teaching</t>
  </si>
  <si>
    <t>Part-Time Temporary Non-Teaching</t>
  </si>
  <si>
    <t>South Lanarkshire College</t>
  </si>
  <si>
    <t>Full-Time Teaching</t>
  </si>
  <si>
    <t>Full-Time Non-Teaching</t>
  </si>
  <si>
    <t>Stevenson College Edinburgh</t>
  </si>
  <si>
    <t>Part-Time Teaching</t>
  </si>
  <si>
    <t>Part-Time Non-Teaching</t>
  </si>
  <si>
    <t>Stow College</t>
  </si>
  <si>
    <t>North Highland College</t>
  </si>
  <si>
    <t>West Lothian College</t>
  </si>
  <si>
    <t>Less That £15,000 Teaching</t>
  </si>
  <si>
    <t>Less Than £15,000 Non-Teaching</t>
  </si>
  <si>
    <t>Orkney College</t>
  </si>
  <si>
    <t>£15,001 to £20,000 Teaching</t>
  </si>
  <si>
    <t>£15,001 to £20,000 Non-Teaching</t>
  </si>
  <si>
    <t>Shetland College of Further Education</t>
  </si>
  <si>
    <t>£20,001 to £30,000 Teaching</t>
  </si>
  <si>
    <t>£20,001 to £30,000 Non-Teaching</t>
  </si>
  <si>
    <t>Sabhal Mor Ostaig</t>
  </si>
  <si>
    <t>£30,001 to £50,000 Teaching</t>
  </si>
  <si>
    <t>£30,001 to £50,000 Non-Teaching</t>
  </si>
  <si>
    <t>Newbattle Abbey College</t>
  </si>
  <si>
    <t>£50,001 to £75,000 Teaching</t>
  </si>
  <si>
    <t>£50,001 to £75,000 Non-Teaching</t>
  </si>
  <si>
    <t>£75,001 to £100,000 Teaching</t>
  </si>
  <si>
    <t>£75,001 to £100,000 Non-Teaching</t>
  </si>
  <si>
    <t>Greater than £100,000 Teaching</t>
  </si>
  <si>
    <t>Greater than £100,000 Non-Teaching</t>
  </si>
  <si>
    <t>Table 3:  Staff headcount by mode of employment (FT, PT), terms of employment (perm/temp), gender, disability and salary range</t>
  </si>
  <si>
    <t>Staff with disability</t>
  </si>
  <si>
    <t>No disclosed disability</t>
  </si>
  <si>
    <t>Table 3</t>
  </si>
  <si>
    <t>£15,000 or less</t>
  </si>
  <si>
    <t>Less That £15,000 Non-Teaching</t>
  </si>
  <si>
    <t>Table 4:  Teaching staff (headcount) by grade ('lecturer and above' and 'instructor or equivalent'), terms of employment (perm/temp) and mode of employment (FT, PT).</t>
  </si>
  <si>
    <t>Teaching grade</t>
  </si>
  <si>
    <t>Teaching qualification</t>
  </si>
  <si>
    <t>Terms of Employment by Mode of Employment</t>
  </si>
  <si>
    <t>Table 4</t>
  </si>
  <si>
    <t>Full-Time</t>
  </si>
  <si>
    <t>Part-Time</t>
  </si>
  <si>
    <t>Lecturer 
and 
above</t>
  </si>
  <si>
    <t>TQFE, TQ Secondary, TQ Primary, PGDE (adult literacies) or equivalent</t>
  </si>
  <si>
    <t>Other TQ not equivalent to TQFE/Secondary/Primary/PGDE (adult literacies)</t>
  </si>
  <si>
    <t>Formal qualification but not teacher trained</t>
  </si>
  <si>
    <t>No formal qualification</t>
  </si>
  <si>
    <t>Instructor 
or 
equivalent</t>
  </si>
  <si>
    <t>PLEASE REFER TO GUIDANCE NOTES FOR DETAILS OF THESE QUALIFICATIONS</t>
  </si>
  <si>
    <t>Table 5: All staff (headcount) by country of nationality and employment cateorgy (teaching/senior management/other)</t>
  </si>
  <si>
    <t xml:space="preserve">Country of Nationality </t>
  </si>
  <si>
    <t>Table 5</t>
  </si>
  <si>
    <t>British</t>
  </si>
  <si>
    <t>Senior Management</t>
  </si>
  <si>
    <t>England</t>
  </si>
  <si>
    <t>Northern Ireland</t>
  </si>
  <si>
    <t>Other EU country nationals</t>
  </si>
  <si>
    <t>Other Non-EU world country nationals</t>
  </si>
  <si>
    <t>Scotland</t>
  </si>
  <si>
    <t>Wales/Cymru</t>
  </si>
  <si>
    <t>Prefer not to say</t>
  </si>
  <si>
    <t>Unknown</t>
  </si>
  <si>
    <t>Teaching Staff</t>
  </si>
  <si>
    <t>Permanent teaching staff headcount in table 1 and table 2 do not match.  Check D43 to D44 and S59 to Y60</t>
  </si>
  <si>
    <t>Table 2 and Table 3</t>
  </si>
  <si>
    <t>Permanent teaching staff headcount in table 2 and table 3 do not match.  Check S59 to Y60 and S90 to Y91</t>
  </si>
  <si>
    <t>Table 3 and Table 4</t>
  </si>
  <si>
    <t>Permanent teaching staff headcount in table 3 and table 4 do not match.  Check S90 to Y91 and F121 to F124</t>
  </si>
  <si>
    <t>Temporary teaching staff headcount in table 1 and table 2 do not match.  Check E43 to E44 and S53 to Y54</t>
  </si>
  <si>
    <t>Temporary teaching staff headcount in table 2 and table 3 do not match.  Check S53 to Y54 and S84 to Y85</t>
  </si>
  <si>
    <t>Temporary teaching staff headcount in table 3 and table 4 do not match.  Check S84 to Y85 and I109 to I112</t>
  </si>
  <si>
    <t>Male teaching staff headcount in table 1 and table 2 do not match.  Check D43 to E43 as well as S59 to Y59 and S61 to Y61</t>
  </si>
  <si>
    <t>Male teaching staff headcount in table 2 and table 3 do not match.  Check S59 to Y59 and S61 to Y61 as well as S90 to Y90 and S92 to Y92</t>
  </si>
  <si>
    <t>Female teaching staff headcount in table 1 and table 2 do not match.  Check D44 to E44 as well as S60 to Y60 and S62 to Y62</t>
  </si>
  <si>
    <t>Female teaching staff headcount in table 2 and table 3 do not match.  Check S60 to Y60 and S62 to Y62 as well as S92 to Y92 and S93 to Y93</t>
  </si>
  <si>
    <t>Full-time teaching staff headcount in table 2 and table 3 do not match.  Check S51 to Y54 and S82 to Y85</t>
  </si>
  <si>
    <t>Full-time teaching staff headcount in table 3 and table 4 do not match.  Check S82 to Y85 and J121 to J124</t>
  </si>
  <si>
    <t>Part-time teaching staff headcount in table 2 and table 3 do not match.  Check S55 to Y58 and S86 to Y89</t>
  </si>
  <si>
    <t>Part-time teaching staff headcount in table 3 and table 4 do not match.  Check S86 to Y89 and K121 to K124</t>
  </si>
  <si>
    <t>£15,000 or Less</t>
  </si>
  <si>
    <t>Teaching staff paid £15,000 or less headcount in table 2 and table 3 do not match.  Check S59 to S62 and S90 to S93</t>
  </si>
  <si>
    <t>Teaching staff paid £15,001 to £20,000 headcount in table 2 and table 3 do not match.  Check T59 to T62 and T90 to T93</t>
  </si>
  <si>
    <t>Teaching staff paid £20,001 to £30,000 headcount in table 2 and table 3 do not match.  Check U59 to U62 and U90 to U93</t>
  </si>
  <si>
    <t>Teaching staff paid £30,001 to £50,000 headcount in table 2 and table 3 do not match.  Check V59 to V62 and V90 to V93</t>
  </si>
  <si>
    <t>Teaching staff paid £50,001 to £75,000 headcount in table 2 and table 3 do not match.  Check W59 to W62 and W90 to W93</t>
  </si>
  <si>
    <t>Teaching staff paid £75,001 to £100,000 headcount in table 2 and table 3 do not match.  Check X59 to X62 and X90 to X93</t>
  </si>
  <si>
    <t>Greater than £100,000</t>
  </si>
  <si>
    <t>Teaching staff paid greater than £100,000 headcount in table 2 and table 3 do not match.  Check Y59 to Y62 and Y90 to Y93</t>
  </si>
  <si>
    <t>Non-Teaching Staff</t>
  </si>
  <si>
    <t>Permanent non-teaching staff headcount in table 2 and table 3 do not match.  Check S64 to Y65 and S68 to Y69</t>
  </si>
  <si>
    <t>Temporary non-teaching staff headcount in table 2 and table 3 do not match.  Check S66 to Y67 and S97 to Y98</t>
  </si>
  <si>
    <t>Male non-teaching staff headcount in table 1 and table 2 do not match.  Check F43 to G43 as well as S72 to Y72 and S74 to Y74</t>
  </si>
  <si>
    <t>Male non-teaching staff headcount in table 2 and table 3 do not match.  Check S72 to Y72 and S74 to Y74 as well as S103 to Y103 and S105 to Y105</t>
  </si>
  <si>
    <t>Female non-teaching staff headcount in table 1 and table 2 do not match.  Check F44 to G44 as well as S73 to Y73 and S75 to Y75</t>
  </si>
  <si>
    <t>Female non-teaching staff headcount in table 2 and table 3 do not match.  Check S73 to Y73 and S75 to Y75 as well as S104 to Y104 and S106 to Y106</t>
  </si>
  <si>
    <t>Full-time non-teaching staff headcount in table 2 and table 3 do not match.  Check S64 to Y67 and S95 to Y98</t>
  </si>
  <si>
    <t>Part-time non-teaching staff headcount in table 2 and table 3 do not match.  Check S68 to Y71 and S99 to Y102</t>
  </si>
  <si>
    <t>Non-teaching staff paid £15,000 or less headcount in table 2 and table 3 do not match.  Check S72 to S75 and S103 to S106</t>
  </si>
  <si>
    <t>Non-teaching staff paid £15,001 to £20,000 headcount in table 2 and table 3 do not match.  Check T72 to T75 and T103 to T106</t>
  </si>
  <si>
    <t>Non-teaching staff paid £20,001 to £30,000 headcount in table 2 and table 3 do not match.  Check U72 to U75 and U103 to U106</t>
  </si>
  <si>
    <t>Non-teaching staff paid £30,001 to £50,000 headcount in table 2 and table 3 do not match.  Check V72 to V75 and V103 to V106</t>
  </si>
  <si>
    <t>Non-teaching staff paid £50,001 to £75,000 headcount in table 2 and table 3 do not match.  Check W72 to W75 and W103 to W106</t>
  </si>
  <si>
    <t>Non-teaching staff paid £75,001 to £100,000 headcount in table 2 and table 3 do not match.  Check X72 to X75 and X103 to X106</t>
  </si>
  <si>
    <t>Non-teaching staff paid greater than £100,000 headcount in table 2 and table 3 do not match.  Check Y72 to Y75 and Y103 to Y106</t>
  </si>
  <si>
    <t>Teaching Staff vs Non-Teaching Staff</t>
  </si>
  <si>
    <t>All Teaching Staff</t>
  </si>
  <si>
    <t>Total teaching staff headcount in table 1 and table 2 do not match.  Check D43 to E44 and S59 to Y62</t>
  </si>
  <si>
    <t>Total teaching staff headcount in table 2 and table 3 do not match.  Check S59 to Y62 and S90 to Y93</t>
  </si>
  <si>
    <t>Total teaching staff headcount in table 3 and table 4 do not match.  Check S90 to Y93 and L121 to L124</t>
  </si>
  <si>
    <t>All Non-Teaching Staff</t>
  </si>
  <si>
    <t>Total non-teaching staff headcount in table 1 and table 2 do not match.  Check F43 to G44 and S72 to Y75</t>
  </si>
  <si>
    <t>Total non-teaching staff headcount in table 2 and table 3 do not match.  Check S72 to Y75 and S103 to Y106</t>
  </si>
  <si>
    <t>Column1</t>
  </si>
  <si>
    <t>Column2</t>
  </si>
  <si>
    <t>Please select College</t>
  </si>
  <si>
    <t>Ayrshire College</t>
  </si>
  <si>
    <t>Dundee &amp; Angus College</t>
  </si>
  <si>
    <t>Edinburgh College</t>
  </si>
  <si>
    <t>Fife College</t>
  </si>
  <si>
    <t>Glasgow Clyde College</t>
  </si>
  <si>
    <t>Glasgow Kelvin College</t>
  </si>
  <si>
    <t>Inverness College UHI</t>
  </si>
  <si>
    <t xml:space="preserve">New College Lanarkshire </t>
  </si>
  <si>
    <t>North East Scotland College</t>
  </si>
  <si>
    <t>North Highland College UHI</t>
  </si>
  <si>
    <t>Orkney College UHI</t>
  </si>
  <si>
    <t>Perth College UHI</t>
  </si>
  <si>
    <t>Sabhal Mor Ostaig UHI</t>
  </si>
  <si>
    <t>Shetland College UHI</t>
  </si>
  <si>
    <t>SRUC</t>
  </si>
  <si>
    <t>West College Scotland</t>
  </si>
  <si>
    <t>West Highland College UHI</t>
  </si>
  <si>
    <r>
      <t xml:space="preserve">1.  Please complete all fields highlighted </t>
    </r>
    <r>
      <rPr>
        <b/>
        <sz val="14"/>
        <color rgb="FF99D9DF"/>
        <rFont val="Calibri"/>
        <family val="2"/>
        <scheme val="minor"/>
      </rPr>
      <t>Blue</t>
    </r>
  </si>
  <si>
    <t>3. The completed template should be as an Excel attachment by Friday 09 October 2026 to</t>
  </si>
  <si>
    <r>
      <t xml:space="preserve">College Staffing Aggregate Return for </t>
    </r>
    <r>
      <rPr>
        <b/>
        <u/>
        <sz val="16"/>
        <color theme="1"/>
        <rFont val="Calibri"/>
        <family val="2"/>
        <scheme val="minor"/>
      </rPr>
      <t>2025-26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</si>
</sst>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2"/>
      <name val="Garamond"/>
      <family val="1"/>
    </font>
    <font>
      <u/>
      <sz val="10"/>
      <color indexed="30"/>
      <name val="Arial"/>
      <family val="2"/>
    </font>
    <font>
      <b/>
      <sz val="12"/>
      <name val="Garamond"/>
      <family val="1"/>
    </font>
    <font>
      <b/>
      <sz val="12"/>
      <color indexed="10"/>
      <name val="Garamond"/>
      <family val="1"/>
    </font>
    <font>
      <sz val="12"/>
      <color indexed="10"/>
      <name val="Garamond"/>
      <family val="1"/>
    </font>
    <font>
      <b/>
      <sz val="10"/>
      <name val="Arial"/>
      <family val="2"/>
    </font>
    <font>
      <sz val="10"/>
      <name val="Arial"/>
      <family val="2"/>
    </font>
    <font>
      <sz val="12"/>
      <color rgb="FF00B0F0"/>
      <name val="Garamond"/>
      <family val="1"/>
    </font>
    <font>
      <sz val="12"/>
      <color rgb="FFFF0000"/>
      <name val="Garamond"/>
      <family val="1"/>
    </font>
    <font>
      <sz val="12"/>
      <color rgb="FF00B05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8"/>
      <color rgb="FFFF0000"/>
      <name val="Garamond"/>
      <family val="1"/>
    </font>
    <font>
      <b/>
      <sz val="14"/>
      <color rgb="FFFF0000"/>
      <name val="Garamond"/>
      <family val="1"/>
    </font>
    <font>
      <sz val="12"/>
      <color theme="0"/>
      <name val="Garamond"/>
      <family val="1"/>
    </font>
    <font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indexed="30"/>
      <name val="Calibri"/>
      <family val="2"/>
      <scheme val="minor"/>
    </font>
    <font>
      <sz val="14"/>
      <name val="Calibri"/>
      <family val="2"/>
      <scheme val="minor"/>
    </font>
    <font>
      <sz val="14"/>
      <name val="Garamond"/>
      <family val="1"/>
    </font>
    <font>
      <sz val="14"/>
      <color theme="1"/>
      <name val="Calibri"/>
      <family val="2"/>
      <scheme val="minor"/>
    </font>
    <font>
      <b/>
      <sz val="14"/>
      <color rgb="FFBC91C6"/>
      <name val="Calibri"/>
      <family val="2"/>
      <scheme val="minor"/>
    </font>
    <font>
      <b/>
      <sz val="14"/>
      <name val="Calibri"/>
      <family val="2"/>
    </font>
    <font>
      <u/>
      <sz val="12"/>
      <color indexed="30"/>
      <name val="Arial"/>
      <family val="2"/>
    </font>
    <font>
      <sz val="12"/>
      <color theme="7" tint="0.7999816888943144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indexed="30"/>
      <name val="Arial"/>
      <family val="2"/>
    </font>
    <font>
      <b/>
      <sz val="14"/>
      <color rgb="FF99D9D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D9DF"/>
        <bgColor indexed="64"/>
      </patternFill>
    </fill>
    <fill>
      <patternFill patternType="solid">
        <fgColor rgb="FFBC91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1" fillId="0" borderId="0"/>
  </cellStyleXfs>
  <cellXfs count="550">
    <xf numFmtId="0" fontId="0" fillId="0" borderId="0" xfId="0"/>
    <xf numFmtId="0" fontId="1" fillId="3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left" vertical="center"/>
      <protection locked="0"/>
    </xf>
    <xf numFmtId="0" fontId="3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left" vertical="center" indent="1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33" fillId="2" borderId="0" xfId="0" applyFont="1" applyFill="1" applyAlignment="1" applyProtection="1">
      <alignment horizontal="left" vertical="center" indent="1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2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1" fillId="2" borderId="0" xfId="2" applyFill="1" applyAlignment="1" applyProtection="1">
      <alignment horizontal="left" vertical="center" wrapText="1"/>
      <protection hidden="1"/>
    </xf>
    <xf numFmtId="0" fontId="1" fillId="2" borderId="0" xfId="2" applyFill="1" applyAlignment="1" applyProtection="1">
      <alignment horizontal="center" vertical="center" wrapText="1"/>
      <protection hidden="1"/>
    </xf>
    <xf numFmtId="0" fontId="34" fillId="2" borderId="0" xfId="1" applyFont="1" applyFill="1" applyAlignment="1" applyProtection="1">
      <alignment vertical="center"/>
      <protection hidden="1"/>
    </xf>
    <xf numFmtId="0" fontId="18" fillId="2" borderId="46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vertical="center"/>
      <protection hidden="1"/>
    </xf>
    <xf numFmtId="0" fontId="5" fillId="2" borderId="1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0" fillId="2" borderId="14" xfId="0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2" applyFill="1" applyAlignment="1" applyProtection="1">
      <alignment horizontal="left" vertical="top" wrapText="1"/>
      <protection hidden="1"/>
    </xf>
    <xf numFmtId="0" fontId="1" fillId="2" borderId="0" xfId="2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9" fillId="2" borderId="14" xfId="0" applyFont="1" applyFill="1" applyBorder="1" applyAlignment="1" applyProtection="1">
      <alignment vertical="center"/>
      <protection hidden="1"/>
    </xf>
    <xf numFmtId="0" fontId="9" fillId="2" borderId="17" xfId="0" applyFont="1" applyFill="1" applyBorder="1" applyAlignment="1" applyProtection="1">
      <alignment vertical="center"/>
      <protection hidden="1"/>
    </xf>
    <xf numFmtId="0" fontId="21" fillId="2" borderId="50" xfId="2" applyFont="1" applyFill="1" applyBorder="1" applyAlignment="1" applyProtection="1">
      <alignment horizontal="center" vertical="center" wrapText="1"/>
      <protection hidden="1"/>
    </xf>
    <xf numFmtId="0" fontId="21" fillId="2" borderId="51" xfId="2" applyFont="1" applyFill="1" applyBorder="1" applyAlignment="1" applyProtection="1">
      <alignment horizontal="center" vertical="center" wrapText="1"/>
      <protection hidden="1"/>
    </xf>
    <xf numFmtId="0" fontId="21" fillId="2" borderId="36" xfId="2" applyFont="1" applyFill="1" applyBorder="1" applyAlignment="1" applyProtection="1">
      <alignment horizontal="center" vertical="center" wrapText="1"/>
      <protection hidden="1"/>
    </xf>
    <xf numFmtId="0" fontId="21" fillId="2" borderId="51" xfId="0" applyFont="1" applyFill="1" applyBorder="1" applyAlignment="1" applyProtection="1">
      <alignment horizontal="center" vertical="center" wrapText="1"/>
      <protection hidden="1"/>
    </xf>
    <xf numFmtId="0" fontId="21" fillId="2" borderId="36" xfId="0" applyFont="1" applyFill="1" applyBorder="1" applyAlignment="1" applyProtection="1">
      <alignment horizontal="center" vertical="center" wrapText="1"/>
      <protection hidden="1"/>
    </xf>
    <xf numFmtId="0" fontId="21" fillId="2" borderId="52" xfId="2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vertical="center"/>
      <protection hidden="1"/>
    </xf>
    <xf numFmtId="0" fontId="8" fillId="2" borderId="17" xfId="0" applyFont="1" applyFill="1" applyBorder="1" applyAlignment="1" applyProtection="1">
      <alignment vertical="center"/>
      <protection hidden="1"/>
    </xf>
    <xf numFmtId="0" fontId="21" fillId="2" borderId="4" xfId="2" applyFont="1" applyFill="1" applyBorder="1" applyAlignment="1" applyProtection="1">
      <alignment horizontal="left" indent="2"/>
      <protection hidden="1"/>
    </xf>
    <xf numFmtId="0" fontId="18" fillId="2" borderId="1" xfId="2" applyFont="1" applyFill="1" applyBorder="1" applyAlignment="1" applyProtection="1">
      <alignment horizontal="center"/>
      <protection hidden="1"/>
    </xf>
    <xf numFmtId="0" fontId="18" fillId="2" borderId="12" xfId="2" applyFont="1" applyFill="1" applyBorder="1" applyAlignment="1" applyProtection="1">
      <alignment horizontal="center"/>
      <protection hidden="1"/>
    </xf>
    <xf numFmtId="0" fontId="18" fillId="2" borderId="2" xfId="2" applyFont="1" applyFill="1" applyBorder="1" applyAlignment="1" applyProtection="1">
      <alignment horizontal="center"/>
      <protection hidden="1"/>
    </xf>
    <xf numFmtId="0" fontId="20" fillId="2" borderId="29" xfId="0" applyFont="1" applyFill="1" applyBorder="1" applyAlignment="1" applyProtection="1">
      <alignment horizontal="center" vertical="center" wrapText="1"/>
      <protection hidden="1"/>
    </xf>
    <xf numFmtId="0" fontId="21" fillId="2" borderId="11" xfId="2" applyFont="1" applyFill="1" applyBorder="1" applyAlignment="1" applyProtection="1">
      <alignment horizontal="left" indent="2"/>
      <protection hidden="1"/>
    </xf>
    <xf numFmtId="0" fontId="21" fillId="2" borderId="53" xfId="2" applyFont="1" applyFill="1" applyBorder="1" applyAlignment="1" applyProtection="1">
      <alignment horizontal="left" indent="2"/>
      <protection hidden="1"/>
    </xf>
    <xf numFmtId="0" fontId="18" fillId="2" borderId="20" xfId="2" applyFont="1" applyFill="1" applyBorder="1" applyAlignment="1" applyProtection="1">
      <alignment horizontal="center"/>
      <protection hidden="1"/>
    </xf>
    <xf numFmtId="0" fontId="18" fillId="2" borderId="21" xfId="2" applyFont="1" applyFill="1" applyBorder="1" applyAlignment="1" applyProtection="1">
      <alignment horizontal="center"/>
      <protection hidden="1"/>
    </xf>
    <xf numFmtId="0" fontId="18" fillId="2" borderId="22" xfId="2" applyFont="1" applyFill="1" applyBorder="1" applyAlignment="1" applyProtection="1">
      <alignment horizontal="center"/>
      <protection hidden="1"/>
    </xf>
    <xf numFmtId="0" fontId="5" fillId="2" borderId="17" xfId="0" applyFont="1" applyFill="1" applyBorder="1" applyAlignment="1" applyProtection="1">
      <alignment vertical="center"/>
      <protection hidden="1"/>
    </xf>
    <xf numFmtId="0" fontId="21" fillId="2" borderId="41" xfId="2" applyFont="1" applyFill="1" applyBorder="1" applyAlignment="1" applyProtection="1">
      <alignment horizontal="left" indent="2"/>
      <protection hidden="1"/>
    </xf>
    <xf numFmtId="0" fontId="18" fillId="2" borderId="13" xfId="2" applyFont="1" applyFill="1" applyBorder="1" applyAlignment="1" applyProtection="1">
      <alignment horizontal="center"/>
      <protection hidden="1"/>
    </xf>
    <xf numFmtId="0" fontId="18" fillId="2" borderId="5" xfId="2" applyFont="1" applyFill="1" applyBorder="1" applyAlignment="1" applyProtection="1">
      <alignment horizontal="center"/>
      <protection hidden="1"/>
    </xf>
    <xf numFmtId="0" fontId="18" fillId="2" borderId="18" xfId="2" applyFont="1" applyFill="1" applyBorder="1" applyAlignment="1" applyProtection="1">
      <alignment horizontal="center"/>
      <protection hidden="1"/>
    </xf>
    <xf numFmtId="0" fontId="18" fillId="2" borderId="19" xfId="2" applyFont="1" applyFill="1" applyBorder="1" applyAlignment="1" applyProtection="1">
      <alignment horizontal="center"/>
      <protection hidden="1"/>
    </xf>
    <xf numFmtId="0" fontId="18" fillId="2" borderId="6" xfId="2" applyFont="1" applyFill="1" applyBorder="1" applyAlignment="1" applyProtection="1">
      <alignment horizontal="center"/>
      <protection hidden="1"/>
    </xf>
    <xf numFmtId="0" fontId="11" fillId="2" borderId="29" xfId="0" applyFont="1" applyFill="1" applyBorder="1" applyAlignment="1" applyProtection="1">
      <alignment horizontal="left" vertical="center" wrapText="1"/>
      <protection hidden="1"/>
    </xf>
    <xf numFmtId="0" fontId="21" fillId="2" borderId="41" xfId="2" applyFont="1" applyFill="1" applyBorder="1" applyAlignment="1" applyProtection="1">
      <alignment vertical="center" wrapText="1"/>
      <protection hidden="1"/>
    </xf>
    <xf numFmtId="0" fontId="18" fillId="2" borderId="65" xfId="2" applyFont="1" applyFill="1" applyBorder="1" applyAlignment="1" applyProtection="1">
      <alignment horizontal="center"/>
      <protection hidden="1"/>
    </xf>
    <xf numFmtId="0" fontId="18" fillId="2" borderId="72" xfId="2" applyFont="1" applyFill="1" applyBorder="1" applyAlignment="1" applyProtection="1">
      <alignment horizontal="center"/>
      <protection hidden="1"/>
    </xf>
    <xf numFmtId="0" fontId="18" fillId="2" borderId="66" xfId="2" applyFont="1" applyFill="1" applyBorder="1" applyAlignment="1" applyProtection="1">
      <alignment horizontal="center"/>
      <protection hidden="1"/>
    </xf>
    <xf numFmtId="0" fontId="21" fillId="2" borderId="4" xfId="2" applyFont="1" applyFill="1" applyBorder="1" applyAlignment="1" applyProtection="1">
      <alignment horizontal="left" vertical="center" indent="2"/>
      <protection hidden="1"/>
    </xf>
    <xf numFmtId="0" fontId="21" fillId="2" borderId="11" xfId="2" applyFont="1" applyFill="1" applyBorder="1" applyAlignment="1" applyProtection="1">
      <alignment horizontal="left" vertical="center" wrapText="1" indent="2"/>
      <protection hidden="1"/>
    </xf>
    <xf numFmtId="0" fontId="5" fillId="2" borderId="6" xfId="0" applyFont="1" applyFill="1" applyBorder="1" applyAlignment="1" applyProtection="1">
      <alignment vertical="center"/>
      <protection hidden="1"/>
    </xf>
    <xf numFmtId="0" fontId="21" fillId="2" borderId="53" xfId="2" applyFont="1" applyFill="1" applyBorder="1" applyAlignment="1" applyProtection="1">
      <alignment horizontal="left" vertical="center" wrapText="1" indent="2"/>
      <protection hidden="1"/>
    </xf>
    <xf numFmtId="0" fontId="21" fillId="2" borderId="4" xfId="2" applyFont="1" applyFill="1" applyBorder="1" applyAlignment="1" applyProtection="1">
      <alignment horizontal="left" vertical="center" wrapText="1" indent="2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21" fillId="2" borderId="41" xfId="2" applyFont="1" applyFill="1" applyBorder="1" applyAlignment="1" applyProtection="1">
      <alignment horizontal="left" vertical="center" wrapText="1" indent="2"/>
      <protection hidden="1"/>
    </xf>
    <xf numFmtId="0" fontId="31" fillId="2" borderId="29" xfId="0" applyFont="1" applyFill="1" applyBorder="1" applyAlignment="1" applyProtection="1">
      <alignment vertical="center" wrapText="1"/>
      <protection hidden="1"/>
    </xf>
    <xf numFmtId="0" fontId="21" fillId="2" borderId="38" xfId="2" applyFont="1" applyFill="1" applyBorder="1" applyAlignment="1" applyProtection="1">
      <alignment horizontal="center" vertical="center" wrapText="1"/>
      <protection hidden="1"/>
    </xf>
    <xf numFmtId="0" fontId="21" fillId="2" borderId="54" xfId="2" applyFont="1" applyFill="1" applyBorder="1" applyAlignment="1" applyProtection="1">
      <alignment horizontal="center" vertical="center" wrapText="1"/>
      <protection hidden="1"/>
    </xf>
    <xf numFmtId="0" fontId="21" fillId="2" borderId="35" xfId="2" applyFont="1" applyFill="1" applyBorder="1" applyAlignment="1" applyProtection="1">
      <alignment horizontal="center" vertical="center" wrapText="1"/>
      <protection hidden="1"/>
    </xf>
    <xf numFmtId="0" fontId="21" fillId="2" borderId="54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0" fontId="21" fillId="2" borderId="39" xfId="2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vertical="center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hidden="1"/>
    </xf>
    <xf numFmtId="0" fontId="21" fillId="2" borderId="11" xfId="2" applyFont="1" applyFill="1" applyBorder="1" applyAlignment="1" applyProtection="1">
      <alignment horizontal="left" vertical="center" indent="2"/>
      <protection hidden="1"/>
    </xf>
    <xf numFmtId="0" fontId="21" fillId="2" borderId="30" xfId="2" applyFont="1" applyFill="1" applyBorder="1" applyAlignment="1" applyProtection="1">
      <alignment horizontal="left" vertical="center" indent="2"/>
      <protection hidden="1"/>
    </xf>
    <xf numFmtId="0" fontId="18" fillId="2" borderId="14" xfId="2" applyFont="1" applyFill="1" applyBorder="1" applyAlignment="1" applyProtection="1">
      <alignment horizontal="center" vertical="center"/>
      <protection hidden="1"/>
    </xf>
    <xf numFmtId="0" fontId="18" fillId="2" borderId="15" xfId="2" applyFont="1" applyFill="1" applyBorder="1" applyAlignment="1" applyProtection="1">
      <alignment horizontal="center" vertical="center"/>
      <protection hidden="1"/>
    </xf>
    <xf numFmtId="0" fontId="18" fillId="2" borderId="17" xfId="2" applyFont="1" applyFill="1" applyBorder="1" applyAlignment="1" applyProtection="1">
      <alignment horizontal="center" vertical="center"/>
      <protection hidden="1"/>
    </xf>
    <xf numFmtId="0" fontId="21" fillId="2" borderId="55" xfId="2" applyFont="1" applyFill="1" applyBorder="1" applyAlignment="1" applyProtection="1">
      <alignment horizontal="left" vertical="center" indent="2"/>
      <protection hidden="1"/>
    </xf>
    <xf numFmtId="0" fontId="21" fillId="2" borderId="8" xfId="2" applyFont="1" applyFill="1" applyBorder="1" applyAlignment="1" applyProtection="1">
      <alignment horizontal="left" vertical="center" indent="2"/>
      <protection hidden="1"/>
    </xf>
    <xf numFmtId="0" fontId="18" fillId="2" borderId="20" xfId="2" applyFont="1" applyFill="1" applyBorder="1" applyAlignment="1" applyProtection="1">
      <alignment horizontal="center" vertical="center"/>
      <protection hidden="1"/>
    </xf>
    <xf numFmtId="0" fontId="18" fillId="2" borderId="21" xfId="2" applyFont="1" applyFill="1" applyBorder="1" applyAlignment="1" applyProtection="1">
      <alignment horizontal="center" vertical="center"/>
      <protection hidden="1"/>
    </xf>
    <xf numFmtId="0" fontId="18" fillId="2" borderId="22" xfId="2" applyFont="1" applyFill="1" applyBorder="1" applyAlignment="1" applyProtection="1">
      <alignment horizontal="center" vertical="center"/>
      <protection hidden="1"/>
    </xf>
    <xf numFmtId="0" fontId="18" fillId="2" borderId="1" xfId="2" applyFont="1" applyFill="1" applyBorder="1" applyAlignment="1" applyProtection="1">
      <alignment horizontal="center" vertical="center"/>
      <protection hidden="1"/>
    </xf>
    <xf numFmtId="0" fontId="18" fillId="2" borderId="12" xfId="2" applyFont="1" applyFill="1" applyBorder="1" applyAlignment="1" applyProtection="1">
      <alignment horizontal="center" vertical="center"/>
      <protection hidden="1"/>
    </xf>
    <xf numFmtId="0" fontId="18" fillId="2" borderId="2" xfId="2" applyFont="1" applyFill="1" applyBorder="1" applyAlignment="1" applyProtection="1">
      <alignment horizontal="center" vertical="center"/>
      <protection hidden="1"/>
    </xf>
    <xf numFmtId="0" fontId="18" fillId="2" borderId="13" xfId="2" applyFont="1" applyFill="1" applyBorder="1" applyAlignment="1" applyProtection="1">
      <alignment horizontal="center" vertical="center"/>
      <protection hidden="1"/>
    </xf>
    <xf numFmtId="0" fontId="18" fillId="2" borderId="16" xfId="2" applyFont="1" applyFill="1" applyBorder="1" applyAlignment="1" applyProtection="1">
      <alignment horizontal="center" vertical="center"/>
      <protection hidden="1"/>
    </xf>
    <xf numFmtId="0" fontId="21" fillId="2" borderId="53" xfId="2" applyFont="1" applyFill="1" applyBorder="1" applyAlignment="1" applyProtection="1">
      <alignment horizontal="left" vertical="center" indent="2"/>
      <protection hidden="1"/>
    </xf>
    <xf numFmtId="0" fontId="18" fillId="2" borderId="5" xfId="2" applyFont="1" applyFill="1" applyBorder="1" applyAlignment="1" applyProtection="1">
      <alignment horizontal="center" vertical="center"/>
      <protection hidden="1"/>
    </xf>
    <xf numFmtId="0" fontId="18" fillId="2" borderId="18" xfId="2" applyFont="1" applyFill="1" applyBorder="1" applyAlignment="1" applyProtection="1">
      <alignment horizontal="center" vertical="center"/>
      <protection hidden="1"/>
    </xf>
    <xf numFmtId="0" fontId="18" fillId="2" borderId="19" xfId="2" applyFont="1" applyFill="1" applyBorder="1" applyAlignment="1" applyProtection="1">
      <alignment horizontal="center" vertical="center"/>
      <protection hidden="1"/>
    </xf>
    <xf numFmtId="0" fontId="18" fillId="2" borderId="6" xfId="2" applyFont="1" applyFill="1" applyBorder="1" applyAlignment="1" applyProtection="1">
      <alignment horizontal="center" vertical="center"/>
      <protection hidden="1"/>
    </xf>
    <xf numFmtId="0" fontId="31" fillId="2" borderId="29" xfId="0" applyFont="1" applyFill="1" applyBorder="1" applyAlignment="1" applyProtection="1">
      <alignment horizontal="left" vertical="center" wrapText="1"/>
      <protection hidden="1"/>
    </xf>
    <xf numFmtId="0" fontId="21" fillId="2" borderId="41" xfId="2" applyFont="1" applyFill="1" applyBorder="1" applyAlignment="1" applyProtection="1">
      <alignment vertical="center"/>
      <protection hidden="1"/>
    </xf>
    <xf numFmtId="0" fontId="18" fillId="2" borderId="38" xfId="2" applyFont="1" applyFill="1" applyBorder="1" applyAlignment="1" applyProtection="1">
      <alignment horizontal="center" vertical="center"/>
      <protection hidden="1"/>
    </xf>
    <xf numFmtId="0" fontId="18" fillId="2" borderId="54" xfId="2" applyFont="1" applyFill="1" applyBorder="1" applyAlignment="1" applyProtection="1">
      <alignment horizontal="center" vertical="center"/>
      <protection hidden="1"/>
    </xf>
    <xf numFmtId="0" fontId="18" fillId="2" borderId="72" xfId="2" applyFont="1" applyFill="1" applyBorder="1" applyAlignment="1" applyProtection="1">
      <alignment horizontal="center" vertical="center"/>
      <protection hidden="1"/>
    </xf>
    <xf numFmtId="0" fontId="18" fillId="2" borderId="66" xfId="2" applyFont="1" applyFill="1" applyBorder="1" applyAlignment="1" applyProtection="1">
      <alignment horizontal="center" vertical="center"/>
      <protection hidden="1"/>
    </xf>
    <xf numFmtId="0" fontId="18" fillId="2" borderId="44" xfId="2" applyFont="1" applyFill="1" applyBorder="1" applyAlignment="1" applyProtection="1">
      <alignment horizontal="center" vertical="center"/>
      <protection hidden="1"/>
    </xf>
    <xf numFmtId="0" fontId="18" fillId="2" borderId="65" xfId="2" applyFont="1" applyFill="1" applyBorder="1" applyAlignment="1" applyProtection="1">
      <alignment horizontal="center" vertical="center"/>
      <protection hidden="1"/>
    </xf>
    <xf numFmtId="0" fontId="18" fillId="2" borderId="73" xfId="2" applyFont="1" applyFill="1" applyBorder="1" applyAlignment="1" applyProtection="1">
      <alignment horizontal="center" vertical="center"/>
      <protection hidden="1"/>
    </xf>
    <xf numFmtId="0" fontId="3" fillId="2" borderId="0" xfId="2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0" fontId="18" fillId="2" borderId="50" xfId="2" applyFont="1" applyFill="1" applyBorder="1" applyAlignment="1" applyProtection="1">
      <alignment horizontal="center" vertical="center"/>
      <protection hidden="1"/>
    </xf>
    <xf numFmtId="0" fontId="18" fillId="2" borderId="52" xfId="2" applyFont="1" applyFill="1" applyBorder="1" applyAlignment="1" applyProtection="1">
      <alignment horizontal="center" vertical="center"/>
      <protection hidden="1"/>
    </xf>
    <xf numFmtId="0" fontId="18" fillId="2" borderId="37" xfId="0" applyFont="1" applyFill="1" applyBorder="1" applyAlignment="1" applyProtection="1">
      <alignment horizontal="center" vertical="center"/>
      <protection hidden="1"/>
    </xf>
    <xf numFmtId="0" fontId="18" fillId="2" borderId="56" xfId="2" applyFont="1" applyFill="1" applyBorder="1" applyAlignment="1" applyProtection="1">
      <alignment horizontal="center" vertical="center"/>
      <protection hidden="1"/>
    </xf>
    <xf numFmtId="0" fontId="18" fillId="2" borderId="36" xfId="2" applyFont="1" applyFill="1" applyBorder="1" applyAlignment="1" applyProtection="1">
      <alignment horizontal="center" vertical="center"/>
      <protection hidden="1"/>
    </xf>
    <xf numFmtId="0" fontId="18" fillId="2" borderId="37" xfId="2" applyFont="1" applyFill="1" applyBorder="1" applyAlignment="1" applyProtection="1">
      <alignment horizontal="center" vertical="center"/>
      <protection hidden="1"/>
    </xf>
    <xf numFmtId="0" fontId="21" fillId="2" borderId="4" xfId="2" applyFont="1" applyFill="1" applyBorder="1" applyAlignment="1" applyProtection="1">
      <alignment horizontal="left" vertical="center" wrapText="1"/>
      <protection hidden="1"/>
    </xf>
    <xf numFmtId="0" fontId="18" fillId="2" borderId="34" xfId="0" applyFont="1" applyFill="1" applyBorder="1" applyAlignment="1" applyProtection="1">
      <alignment horizontal="center" vertical="center"/>
      <protection hidden="1"/>
    </xf>
    <xf numFmtId="0" fontId="18" fillId="2" borderId="34" xfId="2" applyFont="1" applyFill="1" applyBorder="1" applyAlignment="1" applyProtection="1">
      <alignment horizontal="center" vertical="center"/>
      <protection hidden="1"/>
    </xf>
    <xf numFmtId="0" fontId="21" fillId="2" borderId="30" xfId="2" applyFont="1" applyFill="1" applyBorder="1" applyAlignment="1" applyProtection="1">
      <alignment horizontal="left" vertical="center" wrapText="1"/>
      <protection hidden="1"/>
    </xf>
    <xf numFmtId="0" fontId="21" fillId="2" borderId="8" xfId="2" applyFont="1" applyFill="1" applyBorder="1" applyAlignment="1" applyProtection="1">
      <alignment horizontal="left" vertical="center"/>
      <protection hidden="1"/>
    </xf>
    <xf numFmtId="0" fontId="21" fillId="2" borderId="11" xfId="2" applyFont="1" applyFill="1" applyBorder="1" applyAlignment="1" applyProtection="1">
      <alignment horizontal="left" vertical="center" wrapText="1"/>
      <protection hidden="1"/>
    </xf>
    <xf numFmtId="0" fontId="21" fillId="2" borderId="57" xfId="2" applyFont="1" applyFill="1" applyBorder="1" applyAlignment="1" applyProtection="1">
      <alignment horizontal="left" vertical="center" wrapText="1"/>
      <protection hidden="1"/>
    </xf>
    <xf numFmtId="0" fontId="21" fillId="2" borderId="58" xfId="2" applyFont="1" applyFill="1" applyBorder="1" applyAlignment="1" applyProtection="1">
      <alignment horizontal="left" vertical="center" wrapText="1"/>
      <protection hidden="1"/>
    </xf>
    <xf numFmtId="0" fontId="21" fillId="2" borderId="59" xfId="2" applyFont="1" applyFill="1" applyBorder="1" applyAlignment="1" applyProtection="1">
      <alignment horizontal="left"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8" fillId="2" borderId="32" xfId="0" applyFont="1" applyFill="1" applyBorder="1" applyAlignment="1" applyProtection="1">
      <alignment vertical="center" wrapText="1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18" fillId="2" borderId="43" xfId="0" applyFont="1" applyFill="1" applyBorder="1" applyAlignment="1" applyProtection="1">
      <alignment vertical="center" wrapText="1"/>
      <protection hidden="1"/>
    </xf>
    <xf numFmtId="0" fontId="18" fillId="2" borderId="34" xfId="0" applyFont="1" applyFill="1" applyBorder="1" applyAlignment="1" applyProtection="1">
      <alignment vertical="center" wrapText="1"/>
      <protection hidden="1"/>
    </xf>
    <xf numFmtId="0" fontId="18" fillId="2" borderId="34" xfId="0" applyFont="1" applyFill="1" applyBorder="1" applyAlignment="1" applyProtection="1">
      <alignment vertical="center"/>
      <protection hidden="1"/>
    </xf>
    <xf numFmtId="0" fontId="21" fillId="2" borderId="46" xfId="0" applyFont="1" applyFill="1" applyBorder="1" applyAlignment="1" applyProtection="1">
      <alignment horizontal="center" vertical="center" wrapText="1"/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0" fontId="21" fillId="2" borderId="37" xfId="0" applyFont="1" applyFill="1" applyBorder="1" applyAlignment="1" applyProtection="1">
      <alignment horizontal="center" vertical="center" wrapText="1"/>
      <protection hidden="1"/>
    </xf>
    <xf numFmtId="0" fontId="18" fillId="2" borderId="0" xfId="2" applyFont="1" applyFill="1" applyAlignment="1" applyProtection="1">
      <alignment vertical="center"/>
      <protection hidden="1"/>
    </xf>
    <xf numFmtId="0" fontId="21" fillId="2" borderId="0" xfId="2" applyFont="1" applyFill="1" applyAlignment="1" applyProtection="1">
      <alignment horizontal="center" vertical="center"/>
      <protection hidden="1"/>
    </xf>
    <xf numFmtId="0" fontId="30" fillId="2" borderId="0" xfId="2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37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58" xfId="0" applyFont="1" applyFill="1" applyBorder="1" applyAlignment="1" applyProtection="1">
      <alignment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5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62" xfId="0" applyFont="1" applyFill="1" applyBorder="1" applyAlignment="1" applyProtection="1">
      <alignment vertical="center"/>
      <protection hidden="1"/>
    </xf>
    <xf numFmtId="0" fontId="1" fillId="2" borderId="57" xfId="0" applyFont="1" applyFill="1" applyBorder="1" applyAlignment="1" applyProtection="1">
      <alignment vertical="center"/>
      <protection hidden="1"/>
    </xf>
    <xf numFmtId="0" fontId="1" fillId="2" borderId="63" xfId="0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Alignment="1" applyProtection="1">
      <alignment vertical="center"/>
      <protection hidden="1"/>
    </xf>
    <xf numFmtId="0" fontId="1" fillId="2" borderId="31" xfId="0" applyFont="1" applyFill="1" applyBorder="1" applyAlignment="1" applyProtection="1">
      <alignment vertical="center"/>
      <protection hidden="1"/>
    </xf>
    <xf numFmtId="0" fontId="1" fillId="2" borderId="61" xfId="0" applyFont="1" applyFill="1" applyBorder="1" applyAlignment="1" applyProtection="1">
      <alignment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60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3" fillId="2" borderId="34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vertical="center"/>
      <protection hidden="1"/>
    </xf>
    <xf numFmtId="0" fontId="1" fillId="2" borderId="34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55" xfId="0" applyFont="1" applyFill="1" applyBorder="1" applyAlignment="1" applyProtection="1">
      <alignment horizontal="center" vertical="center"/>
      <protection hidden="1"/>
    </xf>
    <xf numFmtId="0" fontId="1" fillId="2" borderId="55" xfId="0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vertical="center"/>
      <protection hidden="1"/>
    </xf>
    <xf numFmtId="0" fontId="3" fillId="2" borderId="34" xfId="0" applyFont="1" applyFill="1" applyBorder="1" applyAlignment="1" applyProtection="1">
      <alignment horizontal="center" vertical="center" wrapText="1"/>
      <protection hidden="1"/>
    </xf>
    <xf numFmtId="0" fontId="3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21" fillId="2" borderId="10" xfId="0" applyFont="1" applyFill="1" applyBorder="1" applyAlignment="1" applyProtection="1">
      <alignment horizontal="center" vertical="center"/>
      <protection hidden="1"/>
    </xf>
    <xf numFmtId="0" fontId="21" fillId="4" borderId="23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wrapText="1"/>
      <protection hidden="1"/>
    </xf>
    <xf numFmtId="0" fontId="21" fillId="4" borderId="0" xfId="0" applyFont="1" applyFill="1" applyAlignment="1">
      <alignment vertical="center"/>
    </xf>
    <xf numFmtId="0" fontId="21" fillId="4" borderId="85" xfId="0" applyFont="1" applyFill="1" applyBorder="1" applyAlignment="1" applyProtection="1">
      <alignment horizontal="center" vertical="center"/>
      <protection hidden="1"/>
    </xf>
    <xf numFmtId="0" fontId="21" fillId="2" borderId="86" xfId="0" applyFont="1" applyFill="1" applyBorder="1" applyAlignment="1" applyProtection="1">
      <alignment horizontal="left" vertical="center" wrapText="1" indent="2"/>
      <protection hidden="1"/>
    </xf>
    <xf numFmtId="0" fontId="21" fillId="2" borderId="87" xfId="0" applyFont="1" applyFill="1" applyBorder="1" applyAlignment="1" applyProtection="1">
      <alignment horizontal="left" vertical="center" wrapText="1" indent="2"/>
      <protection hidden="1"/>
    </xf>
    <xf numFmtId="0" fontId="21" fillId="2" borderId="88" xfId="0" applyFont="1" applyFill="1" applyBorder="1" applyAlignment="1" applyProtection="1">
      <alignment horizontal="left" vertical="center" wrapText="1" indent="2"/>
      <protection hidden="1"/>
    </xf>
    <xf numFmtId="0" fontId="21" fillId="2" borderId="89" xfId="0" applyFont="1" applyFill="1" applyBorder="1" applyAlignment="1" applyProtection="1">
      <alignment horizontal="left" vertical="center" wrapText="1" indent="2"/>
      <protection hidden="1"/>
    </xf>
    <xf numFmtId="0" fontId="21" fillId="4" borderId="93" xfId="0" applyFont="1" applyFill="1" applyBorder="1" applyAlignment="1" applyProtection="1">
      <alignment horizontal="center" vertical="center"/>
      <protection hidden="1"/>
    </xf>
    <xf numFmtId="0" fontId="21" fillId="4" borderId="94" xfId="0" applyFont="1" applyFill="1" applyBorder="1" applyAlignment="1" applyProtection="1">
      <alignment horizontal="center" vertical="center"/>
      <protection hidden="1"/>
    </xf>
    <xf numFmtId="0" fontId="21" fillId="2" borderId="85" xfId="0" applyFont="1" applyFill="1" applyBorder="1" applyAlignment="1" applyProtection="1">
      <alignment horizontal="center" vertical="center"/>
      <protection hidden="1"/>
    </xf>
    <xf numFmtId="0" fontId="21" fillId="2" borderId="93" xfId="0" applyFont="1" applyFill="1" applyBorder="1" applyAlignment="1" applyProtection="1">
      <alignment horizontal="center" vertical="center"/>
      <protection hidden="1"/>
    </xf>
    <xf numFmtId="0" fontId="21" fillId="2" borderId="90" xfId="0" applyFont="1" applyFill="1" applyBorder="1" applyAlignment="1" applyProtection="1">
      <alignment horizontal="center" vertical="center"/>
      <protection hidden="1"/>
    </xf>
    <xf numFmtId="0" fontId="21" fillId="2" borderId="75" xfId="0" applyFont="1" applyFill="1" applyBorder="1" applyAlignment="1" applyProtection="1">
      <alignment horizontal="center" vertical="center"/>
      <protection hidden="1"/>
    </xf>
    <xf numFmtId="0" fontId="21" fillId="2" borderId="75" xfId="0" applyFont="1" applyFill="1" applyBorder="1" applyAlignment="1" applyProtection="1">
      <alignment horizontal="center" wrapText="1"/>
      <protection hidden="1"/>
    </xf>
    <xf numFmtId="0" fontId="21" fillId="2" borderId="75" xfId="0" applyFont="1" applyFill="1" applyBorder="1" applyAlignment="1" applyProtection="1">
      <alignment horizontal="center"/>
      <protection hidden="1"/>
    </xf>
    <xf numFmtId="0" fontId="1" fillId="2" borderId="67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0" fontId="21" fillId="2" borderId="75" xfId="0" applyFont="1" applyFill="1" applyBorder="1" applyAlignment="1" applyProtection="1">
      <alignment vertical="center"/>
      <protection hidden="1"/>
    </xf>
    <xf numFmtId="0" fontId="1" fillId="2" borderId="75" xfId="0" applyFont="1" applyFill="1" applyBorder="1" applyAlignment="1" applyProtection="1">
      <alignment vertical="center"/>
      <protection hidden="1"/>
    </xf>
    <xf numFmtId="0" fontId="21" fillId="2" borderId="97" xfId="0" applyFont="1" applyFill="1" applyBorder="1" applyAlignment="1" applyProtection="1">
      <alignment horizontal="left" vertical="center" wrapText="1" indent="2"/>
      <protection hidden="1"/>
    </xf>
    <xf numFmtId="0" fontId="21" fillId="2" borderId="98" xfId="0" applyFont="1" applyFill="1" applyBorder="1" applyAlignment="1" applyProtection="1">
      <alignment horizontal="center" vertical="center"/>
      <protection hidden="1"/>
    </xf>
    <xf numFmtId="0" fontId="21" fillId="2" borderId="99" xfId="0" applyFont="1" applyFill="1" applyBorder="1" applyAlignment="1" applyProtection="1">
      <alignment horizontal="center" vertical="center"/>
      <protection hidden="1"/>
    </xf>
    <xf numFmtId="0" fontId="21" fillId="2" borderId="99" xfId="0" applyFont="1" applyFill="1" applyBorder="1" applyAlignment="1" applyProtection="1">
      <alignment horizontal="center" wrapText="1"/>
      <protection hidden="1"/>
    </xf>
    <xf numFmtId="0" fontId="21" fillId="2" borderId="98" xfId="0" applyFont="1" applyFill="1" applyBorder="1" applyAlignment="1" applyProtection="1">
      <alignment horizontal="center" wrapText="1"/>
      <protection hidden="1"/>
    </xf>
    <xf numFmtId="0" fontId="21" fillId="2" borderId="98" xfId="0" applyFont="1" applyFill="1" applyBorder="1" applyAlignment="1" applyProtection="1">
      <alignment horizontal="center"/>
      <protection hidden="1"/>
    </xf>
    <xf numFmtId="0" fontId="21" fillId="2" borderId="62" xfId="0" applyFont="1" applyFill="1" applyBorder="1" applyAlignment="1" applyProtection="1">
      <alignment horizontal="center" wrapText="1"/>
      <protection hidden="1"/>
    </xf>
    <xf numFmtId="0" fontId="21" fillId="2" borderId="100" xfId="0" applyFont="1" applyFill="1" applyBorder="1" applyAlignment="1" applyProtection="1">
      <alignment horizontal="center" wrapText="1"/>
      <protection hidden="1"/>
    </xf>
    <xf numFmtId="0" fontId="21" fillId="4" borderId="101" xfId="0" applyFont="1" applyFill="1" applyBorder="1" applyAlignment="1" applyProtection="1">
      <alignment horizontal="center" vertical="center"/>
      <protection hidden="1"/>
    </xf>
    <xf numFmtId="0" fontId="21" fillId="4" borderId="102" xfId="0" applyFont="1" applyFill="1" applyBorder="1" applyAlignment="1" applyProtection="1">
      <alignment horizontal="center" vertical="center"/>
      <protection hidden="1"/>
    </xf>
    <xf numFmtId="0" fontId="21" fillId="4" borderId="103" xfId="0" applyFont="1" applyFill="1" applyBorder="1" applyAlignment="1" applyProtection="1">
      <alignment horizontal="center" vertical="center"/>
      <protection hidden="1"/>
    </xf>
    <xf numFmtId="0" fontId="21" fillId="2" borderId="89" xfId="0" applyFont="1" applyFill="1" applyBorder="1" applyAlignment="1" applyProtection="1">
      <alignment horizontal="center" vertical="center"/>
      <protection hidden="1"/>
    </xf>
    <xf numFmtId="0" fontId="21" fillId="2" borderId="97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Alignment="1" applyProtection="1">
      <alignment horizontal="left" vertical="center"/>
      <protection hidden="1"/>
    </xf>
    <xf numFmtId="0" fontId="21" fillId="4" borderId="1" xfId="2" applyFont="1" applyFill="1" applyBorder="1" applyAlignment="1" applyProtection="1">
      <alignment horizontal="center"/>
      <protection locked="0" hidden="1"/>
    </xf>
    <xf numFmtId="0" fontId="21" fillId="4" borderId="10" xfId="2" applyFont="1" applyFill="1" applyBorder="1" applyAlignment="1" applyProtection="1">
      <alignment horizontal="center"/>
      <protection locked="0" hidden="1"/>
    </xf>
    <xf numFmtId="0" fontId="21" fillId="4" borderId="3" xfId="2" applyFont="1" applyFill="1" applyBorder="1" applyAlignment="1" applyProtection="1">
      <alignment horizontal="center"/>
      <protection locked="0" hidden="1"/>
    </xf>
    <xf numFmtId="0" fontId="21" fillId="4" borderId="10" xfId="2" applyFont="1" applyFill="1" applyBorder="1" applyAlignment="1" applyProtection="1">
      <alignment horizontal="center" vertical="center"/>
      <protection locked="0" hidden="1"/>
    </xf>
    <xf numFmtId="0" fontId="21" fillId="4" borderId="5" xfId="2" applyFont="1" applyFill="1" applyBorder="1" applyAlignment="1" applyProtection="1">
      <alignment horizontal="center" vertical="center"/>
      <protection locked="0" hidden="1"/>
    </xf>
    <xf numFmtId="0" fontId="21" fillId="4" borderId="3" xfId="2" applyFont="1" applyFill="1" applyBorder="1" applyAlignment="1" applyProtection="1">
      <alignment horizontal="center" vertical="center"/>
      <protection locked="0" hidden="1"/>
    </xf>
    <xf numFmtId="0" fontId="21" fillId="4" borderId="7" xfId="2" applyFont="1" applyFill="1" applyBorder="1" applyAlignment="1" applyProtection="1">
      <alignment horizontal="center" vertical="center"/>
      <protection locked="0" hidden="1"/>
    </xf>
    <xf numFmtId="0" fontId="21" fillId="4" borderId="34" xfId="2" applyFont="1" applyFill="1" applyBorder="1" applyAlignment="1" applyProtection="1">
      <alignment horizontal="center" vertical="center"/>
      <protection locked="0" hidden="1"/>
    </xf>
    <xf numFmtId="0" fontId="18" fillId="4" borderId="34" xfId="2" applyFont="1" applyFill="1" applyBorder="1" applyAlignment="1" applyProtection="1">
      <alignment horizontal="center" vertical="center"/>
      <protection locked="0" hidden="1"/>
    </xf>
    <xf numFmtId="0" fontId="21" fillId="4" borderId="34" xfId="0" applyFont="1" applyFill="1" applyBorder="1" applyAlignment="1" applyProtection="1">
      <alignment horizontal="center" vertical="center" wrapText="1"/>
      <protection locked="0" hidden="1"/>
    </xf>
    <xf numFmtId="0" fontId="21" fillId="4" borderId="33" xfId="0" applyFont="1" applyFill="1" applyBorder="1" applyAlignment="1" applyProtection="1">
      <alignment horizontal="center" vertical="center" wrapText="1"/>
      <protection locked="0" hidden="1"/>
    </xf>
    <xf numFmtId="0" fontId="21" fillId="4" borderId="53" xfId="0" applyFont="1" applyFill="1" applyBorder="1" applyAlignment="1" applyProtection="1">
      <alignment horizontal="center" vertical="center" wrapText="1"/>
      <protection locked="0" hidden="1"/>
    </xf>
    <xf numFmtId="0" fontId="35" fillId="2" borderId="0" xfId="0" applyFont="1" applyFill="1" applyAlignment="1" applyProtection="1">
      <alignment horizontal="left" vertical="center" indent="1"/>
      <protection hidden="1"/>
    </xf>
    <xf numFmtId="0" fontId="36" fillId="2" borderId="0" xfId="0" applyFont="1" applyFill="1" applyAlignment="1" applyProtection="1">
      <alignment horizontal="left" vertical="center" indent="1"/>
      <protection hidden="1"/>
    </xf>
    <xf numFmtId="0" fontId="0" fillId="2" borderId="0" xfId="0" applyFill="1" applyProtection="1">
      <protection locked="0"/>
    </xf>
    <xf numFmtId="0" fontId="16" fillId="2" borderId="0" xfId="0" applyFont="1" applyFill="1" applyAlignment="1" applyProtection="1">
      <alignment horizontal="left" vertical="center" inden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33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3" fontId="23" fillId="2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164" fontId="18" fillId="2" borderId="81" xfId="0" applyNumberFormat="1" applyFont="1" applyFill="1" applyBorder="1" applyAlignment="1" applyProtection="1">
      <alignment horizontal="center" vertical="center"/>
      <protection hidden="1"/>
    </xf>
    <xf numFmtId="164" fontId="18" fillId="2" borderId="7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wrapText="1"/>
      <protection locked="0"/>
    </xf>
    <xf numFmtId="3" fontId="23" fillId="2" borderId="0" xfId="0" applyNumberFormat="1" applyFont="1" applyFill="1" applyAlignment="1" applyProtection="1">
      <alignment horizontal="center" vertical="center" wrapText="1"/>
      <protection locked="0"/>
    </xf>
    <xf numFmtId="0" fontId="20" fillId="2" borderId="0" xfId="0" applyFont="1" applyFill="1" applyProtection="1"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3" fontId="22" fillId="2" borderId="41" xfId="0" applyNumberFormat="1" applyFont="1" applyFill="1" applyBorder="1" applyAlignment="1" applyProtection="1">
      <alignment vertical="center"/>
      <protection locked="0"/>
    </xf>
    <xf numFmtId="3" fontId="22" fillId="2" borderId="0" xfId="0" applyNumberFormat="1" applyFont="1" applyFill="1" applyAlignment="1" applyProtection="1">
      <alignment vertical="center"/>
      <protection locked="0"/>
    </xf>
    <xf numFmtId="3" fontId="24" fillId="2" borderId="0" xfId="0" applyNumberFormat="1" applyFont="1" applyFill="1" applyAlignment="1" applyProtection="1">
      <alignment horizontal="right" vertical="center"/>
      <protection locked="0"/>
    </xf>
    <xf numFmtId="3" fontId="24" fillId="2" borderId="0" xfId="0" applyNumberFormat="1" applyFont="1" applyFill="1" applyAlignment="1" applyProtection="1">
      <alignment horizontal="left" vertical="center"/>
      <protection locked="0"/>
    </xf>
    <xf numFmtId="3" fontId="25" fillId="2" borderId="0" xfId="1" applyNumberFormat="1" applyFont="1" applyFill="1" applyBorder="1" applyAlignment="1" applyProtection="1">
      <alignment vertical="center"/>
      <protection locked="0"/>
    </xf>
    <xf numFmtId="3" fontId="22" fillId="2" borderId="0" xfId="0" applyNumberFormat="1" applyFont="1" applyFill="1" applyProtection="1">
      <protection locked="0"/>
    </xf>
    <xf numFmtId="0" fontId="18" fillId="2" borderId="0" xfId="0" applyFont="1" applyFill="1" applyAlignment="1" applyProtection="1">
      <alignment vertical="center" wrapText="1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21" fillId="2" borderId="34" xfId="0" applyFont="1" applyFill="1" applyBorder="1" applyAlignment="1" applyProtection="1">
      <alignment horizontal="center" vertical="center" wrapText="1"/>
      <protection locked="0"/>
    </xf>
    <xf numFmtId="0" fontId="21" fillId="2" borderId="34" xfId="0" applyFont="1" applyFill="1" applyBorder="1" applyAlignment="1" applyProtection="1">
      <alignment vertical="center"/>
      <protection locked="0"/>
    </xf>
    <xf numFmtId="0" fontId="21" fillId="2" borderId="32" xfId="0" applyFont="1" applyFill="1" applyBorder="1" applyAlignment="1" applyProtection="1">
      <alignment vertical="center"/>
      <protection locked="0"/>
    </xf>
    <xf numFmtId="0" fontId="21" fillId="2" borderId="42" xfId="0" applyFont="1" applyFill="1" applyBorder="1" applyAlignment="1" applyProtection="1">
      <alignment vertical="center"/>
      <protection locked="0"/>
    </xf>
    <xf numFmtId="0" fontId="26" fillId="2" borderId="0" xfId="0" applyFont="1" applyFill="1" applyProtection="1">
      <protection locked="0"/>
    </xf>
    <xf numFmtId="0" fontId="21" fillId="2" borderId="43" xfId="0" applyFont="1" applyFill="1" applyBorder="1" applyAlignment="1" applyProtection="1">
      <alignment vertical="center"/>
      <protection locked="0"/>
    </xf>
    <xf numFmtId="0" fontId="18" fillId="2" borderId="29" xfId="0" applyFont="1" applyFill="1" applyBorder="1" applyAlignment="1" applyProtection="1">
      <alignment vertical="center" wrapText="1"/>
      <protection locked="0"/>
    </xf>
    <xf numFmtId="0" fontId="21" fillId="2" borderId="29" xfId="0" applyFont="1" applyFill="1" applyBorder="1" applyAlignment="1" applyProtection="1">
      <alignment horizontal="center" vertical="center" wrapText="1"/>
      <protection locked="0"/>
    </xf>
    <xf numFmtId="0" fontId="21" fillId="2" borderId="31" xfId="0" applyFont="1" applyFill="1" applyBorder="1" applyAlignment="1" applyProtection="1">
      <alignment vertical="center"/>
      <protection locked="0"/>
    </xf>
    <xf numFmtId="0" fontId="18" fillId="2" borderId="33" xfId="0" applyFont="1" applyFill="1" applyBorder="1" applyAlignment="1" applyProtection="1">
      <alignment vertical="center" wrapText="1"/>
      <protection locked="0"/>
    </xf>
    <xf numFmtId="0" fontId="21" fillId="2" borderId="33" xfId="0" applyFont="1" applyFill="1" applyBorder="1" applyAlignment="1" applyProtection="1">
      <alignment horizontal="center" vertical="center" wrapText="1"/>
      <protection locked="0"/>
    </xf>
    <xf numFmtId="0" fontId="21" fillId="2" borderId="33" xfId="0" applyFont="1" applyFill="1" applyBorder="1" applyAlignment="1" applyProtection="1">
      <alignment vertical="center"/>
      <protection locked="0"/>
    </xf>
    <xf numFmtId="0" fontId="21" fillId="2" borderId="45" xfId="0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Protection="1">
      <protection locked="0"/>
    </xf>
    <xf numFmtId="164" fontId="21" fillId="5" borderId="79" xfId="0" applyNumberFormat="1" applyFont="1" applyFill="1" applyBorder="1" applyAlignment="1" applyProtection="1">
      <alignment horizontal="center" vertical="center"/>
      <protection locked="0"/>
    </xf>
    <xf numFmtId="164" fontId="21" fillId="5" borderId="78" xfId="0" applyNumberFormat="1" applyFont="1" applyFill="1" applyBorder="1" applyAlignment="1" applyProtection="1">
      <alignment horizontal="center" vertical="center"/>
      <protection locked="0"/>
    </xf>
    <xf numFmtId="164" fontId="21" fillId="5" borderId="80" xfId="0" applyNumberFormat="1" applyFont="1" applyFill="1" applyBorder="1" applyAlignment="1" applyProtection="1">
      <alignment horizontal="center" vertical="center"/>
      <protection locked="0"/>
    </xf>
    <xf numFmtId="164" fontId="18" fillId="2" borderId="76" xfId="0" applyNumberFormat="1" applyFont="1" applyFill="1" applyBorder="1" applyAlignment="1" applyProtection="1">
      <alignment horizontal="center" vertical="center"/>
      <protection locked="0" hidden="1"/>
    </xf>
    <xf numFmtId="164" fontId="18" fillId="2" borderId="79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10" xfId="2" applyFont="1" applyFill="1" applyBorder="1" applyAlignment="1" applyProtection="1">
      <alignment horizontal="center"/>
      <protection hidden="1"/>
    </xf>
    <xf numFmtId="0" fontId="18" fillId="2" borderId="23" xfId="2" applyFont="1" applyFill="1" applyBorder="1" applyAlignment="1" applyProtection="1">
      <alignment horizontal="center"/>
      <protection hidden="1"/>
    </xf>
    <xf numFmtId="0" fontId="18" fillId="2" borderId="24" xfId="2" applyFont="1" applyFill="1" applyBorder="1" applyAlignment="1" applyProtection="1">
      <alignment horizontal="center"/>
      <protection hidden="1"/>
    </xf>
    <xf numFmtId="0" fontId="21" fillId="4" borderId="5" xfId="2" applyFont="1" applyFill="1" applyBorder="1" applyAlignment="1" applyProtection="1">
      <alignment horizontal="center"/>
      <protection locked="0" hidden="1"/>
    </xf>
    <xf numFmtId="0" fontId="21" fillId="4" borderId="7" xfId="2" applyFont="1" applyFill="1" applyBorder="1" applyAlignment="1" applyProtection="1">
      <alignment horizontal="center"/>
      <protection locked="0" hidden="1"/>
    </xf>
    <xf numFmtId="0" fontId="21" fillId="4" borderId="27" xfId="2" applyFont="1" applyFill="1" applyBorder="1" applyAlignment="1" applyProtection="1">
      <alignment horizontal="center"/>
      <protection locked="0" hidden="1"/>
    </xf>
    <xf numFmtId="0" fontId="21" fillId="4" borderId="104" xfId="2" applyFont="1" applyFill="1" applyBorder="1" applyAlignment="1" applyProtection="1">
      <alignment horizontal="center"/>
      <protection locked="0" hidden="1"/>
    </xf>
    <xf numFmtId="0" fontId="21" fillId="4" borderId="1" xfId="2" applyFont="1" applyFill="1" applyBorder="1" applyAlignment="1" applyProtection="1">
      <alignment horizontal="center" vertical="center"/>
      <protection locked="0" hidden="1"/>
    </xf>
    <xf numFmtId="0" fontId="21" fillId="4" borderId="104" xfId="2" applyFont="1" applyFill="1" applyBorder="1" applyAlignment="1" applyProtection="1">
      <alignment horizontal="center" vertical="center"/>
      <protection locked="0" hidden="1"/>
    </xf>
    <xf numFmtId="0" fontId="21" fillId="2" borderId="48" xfId="2" applyFont="1" applyFill="1" applyBorder="1" applyAlignment="1" applyProtection="1">
      <alignment horizontal="left" vertical="center" indent="2"/>
      <protection hidden="1"/>
    </xf>
    <xf numFmtId="0" fontId="37" fillId="2" borderId="0" xfId="0" applyFont="1" applyFill="1" applyAlignment="1" applyProtection="1">
      <alignment horizontal="left" indent="1"/>
      <protection locked="0"/>
    </xf>
    <xf numFmtId="0" fontId="13" fillId="2" borderId="0" xfId="0" applyFont="1" applyFill="1" applyAlignment="1" applyProtection="1">
      <alignment horizontal="left" indent="2"/>
      <protection locked="0"/>
    </xf>
    <xf numFmtId="0" fontId="37" fillId="2" borderId="0" xfId="0" applyFont="1" applyFill="1" applyAlignment="1" applyProtection="1">
      <alignment horizontal="left" indent="2"/>
      <protection locked="0"/>
    </xf>
    <xf numFmtId="0" fontId="37" fillId="2" borderId="0" xfId="0" applyFont="1" applyFill="1" applyProtection="1">
      <protection locked="0"/>
    </xf>
    <xf numFmtId="0" fontId="39" fillId="2" borderId="0" xfId="3" applyFont="1" applyFill="1" applyAlignment="1" applyProtection="1">
      <alignment horizontal="center" vertical="center"/>
      <protection locked="0"/>
    </xf>
    <xf numFmtId="3" fontId="21" fillId="2" borderId="43" xfId="0" applyNumberFormat="1" applyFont="1" applyFill="1" applyBorder="1" applyAlignment="1" applyProtection="1">
      <alignment horizontal="center" vertical="center"/>
      <protection locked="0"/>
    </xf>
    <xf numFmtId="164" fontId="18" fillId="2" borderId="110" xfId="0" applyNumberFormat="1" applyFont="1" applyFill="1" applyBorder="1" applyAlignment="1" applyProtection="1">
      <alignment horizontal="center" vertical="center"/>
      <protection hidden="1"/>
    </xf>
    <xf numFmtId="164" fontId="21" fillId="5" borderId="0" xfId="0" applyNumberFormat="1" applyFont="1" applyFill="1" applyAlignment="1" applyProtection="1">
      <alignment horizontal="center" vertical="center"/>
      <protection locked="0"/>
    </xf>
    <xf numFmtId="164" fontId="18" fillId="2" borderId="111" xfId="0" applyNumberFormat="1" applyFont="1" applyFill="1" applyBorder="1" applyAlignment="1" applyProtection="1">
      <alignment horizontal="center" vertical="center"/>
      <protection hidden="1"/>
    </xf>
    <xf numFmtId="164" fontId="18" fillId="2" borderId="112" xfId="0" applyNumberFormat="1" applyFont="1" applyFill="1" applyBorder="1" applyAlignment="1" applyProtection="1">
      <alignment horizontal="center" vertical="center"/>
      <protection hidden="1"/>
    </xf>
    <xf numFmtId="164" fontId="18" fillId="2" borderId="113" xfId="0" applyNumberFormat="1" applyFont="1" applyFill="1" applyBorder="1" applyAlignment="1" applyProtection="1">
      <alignment horizontal="center" vertical="center"/>
      <protection hidden="1"/>
    </xf>
    <xf numFmtId="164" fontId="18" fillId="2" borderId="96" xfId="0" applyNumberFormat="1" applyFont="1" applyFill="1" applyBorder="1" applyAlignment="1" applyProtection="1">
      <alignment horizontal="center" vertical="center"/>
      <protection hidden="1"/>
    </xf>
    <xf numFmtId="0" fontId="21" fillId="4" borderId="34" xfId="2" applyFont="1" applyFill="1" applyBorder="1" applyAlignment="1" applyProtection="1">
      <alignment horizontal="center"/>
      <protection locked="0" hidden="1"/>
    </xf>
    <xf numFmtId="0" fontId="40" fillId="2" borderId="0" xfId="1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3" fillId="2" borderId="0" xfId="0" applyFont="1" applyFill="1" applyAlignment="1" applyProtection="1">
      <alignment horizontal="left" vertical="center" indent="1"/>
      <protection locked="0"/>
    </xf>
    <xf numFmtId="0" fontId="35" fillId="2" borderId="75" xfId="0" applyFont="1" applyFill="1" applyBorder="1" applyAlignment="1" applyProtection="1">
      <alignment vertical="center"/>
      <protection hidden="1"/>
    </xf>
    <xf numFmtId="0" fontId="31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 indent="1"/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 vertical="top"/>
      <protection locked="0"/>
    </xf>
    <xf numFmtId="0" fontId="42" fillId="2" borderId="0" xfId="0" applyFont="1" applyFill="1" applyAlignment="1" applyProtection="1">
      <alignment vertical="top"/>
      <protection locked="0"/>
    </xf>
    <xf numFmtId="0" fontId="31" fillId="2" borderId="0" xfId="0" applyFont="1" applyFill="1" applyAlignment="1" applyProtection="1">
      <alignment horizontal="center"/>
      <protection locked="0"/>
    </xf>
    <xf numFmtId="0" fontId="31" fillId="2" borderId="0" xfId="0" applyFont="1" applyFill="1" applyProtection="1">
      <protection hidden="1"/>
    </xf>
    <xf numFmtId="0" fontId="31" fillId="2" borderId="0" xfId="0" applyFont="1" applyFill="1" applyAlignment="1" applyProtection="1">
      <alignment horizontal="left"/>
      <protection locked="0"/>
    </xf>
    <xf numFmtId="3" fontId="18" fillId="2" borderId="109" xfId="0" applyNumberFormat="1" applyFont="1" applyFill="1" applyBorder="1" applyAlignment="1" applyProtection="1">
      <alignment horizontal="center" vertical="center"/>
      <protection locked="0"/>
    </xf>
    <xf numFmtId="0" fontId="31" fillId="2" borderId="68" xfId="0" applyFont="1" applyFill="1" applyBorder="1" applyProtection="1">
      <protection locked="0"/>
    </xf>
    <xf numFmtId="0" fontId="43" fillId="2" borderId="0" xfId="1" applyFont="1" applyFill="1" applyAlignment="1" applyProtection="1">
      <alignment horizontal="left"/>
      <protection locked="0"/>
    </xf>
    <xf numFmtId="0" fontId="37" fillId="2" borderId="0" xfId="0" applyFont="1" applyFill="1" applyAlignment="1" applyProtection="1">
      <alignment horizontal="left"/>
      <protection locked="0"/>
    </xf>
    <xf numFmtId="0" fontId="39" fillId="2" borderId="0" xfId="3" applyFont="1" applyFill="1" applyAlignment="1" applyProtection="1">
      <alignment horizontal="left" indent="2"/>
      <protection locked="0"/>
    </xf>
    <xf numFmtId="164" fontId="21" fillId="5" borderId="82" xfId="0" applyNumberFormat="1" applyFont="1" applyFill="1" applyBorder="1" applyAlignment="1" applyProtection="1">
      <alignment horizontal="center" vertical="center"/>
      <protection locked="0"/>
    </xf>
    <xf numFmtId="164" fontId="21" fillId="5" borderId="117" xfId="0" applyNumberFormat="1" applyFont="1" applyFill="1" applyBorder="1" applyAlignment="1" applyProtection="1">
      <alignment horizontal="center" vertical="center"/>
      <protection locked="0"/>
    </xf>
    <xf numFmtId="164" fontId="18" fillId="2" borderId="118" xfId="0" applyNumberFormat="1" applyFont="1" applyFill="1" applyBorder="1" applyAlignment="1" applyProtection="1">
      <alignment horizontal="center" vertical="center"/>
      <protection locked="0"/>
    </xf>
    <xf numFmtId="3" fontId="21" fillId="2" borderId="82" xfId="0" applyNumberFormat="1" applyFont="1" applyFill="1" applyBorder="1" applyAlignment="1" applyProtection="1">
      <alignment horizontal="center" vertical="center"/>
      <protection locked="0"/>
    </xf>
    <xf numFmtId="3" fontId="21" fillId="2" borderId="82" xfId="0" quotePrefix="1" applyNumberFormat="1" applyFont="1" applyFill="1" applyBorder="1" applyAlignment="1" applyProtection="1">
      <alignment horizontal="centerContinuous" vertical="center" wrapText="1" shrinkToFit="1"/>
      <protection locked="0"/>
    </xf>
    <xf numFmtId="164" fontId="21" fillId="5" borderId="74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left" vertical="center" indent="1"/>
      <protection locked="0"/>
    </xf>
    <xf numFmtId="0" fontId="37" fillId="2" borderId="0" xfId="0" applyFont="1" applyFill="1" applyAlignment="1" applyProtection="1">
      <alignment horizontal="left" wrapText="1" inden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vertical="center" wrapText="1"/>
      <protection locked="0"/>
    </xf>
    <xf numFmtId="0" fontId="20" fillId="2" borderId="28" xfId="0" applyFont="1" applyFill="1" applyBorder="1" applyAlignment="1" applyProtection="1">
      <alignment vertical="center" wrapText="1"/>
      <protection locked="0"/>
    </xf>
    <xf numFmtId="0" fontId="20" fillId="2" borderId="9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 applyProtection="1">
      <alignment vertical="center" wrapText="1"/>
      <protection locked="0"/>
    </xf>
    <xf numFmtId="0" fontId="31" fillId="2" borderId="41" xfId="0" applyFont="1" applyFill="1" applyBorder="1" applyAlignment="1" applyProtection="1">
      <alignment vertical="center" wrapText="1"/>
      <protection locked="0"/>
    </xf>
    <xf numFmtId="0" fontId="31" fillId="2" borderId="53" xfId="0" applyFont="1" applyFill="1" applyBorder="1" applyAlignment="1" applyProtection="1">
      <alignment vertical="center" wrapText="1"/>
      <protection locked="0"/>
    </xf>
    <xf numFmtId="0" fontId="31" fillId="2" borderId="0" xfId="0" applyFont="1" applyFill="1" applyAlignment="1" applyProtection="1">
      <alignment vertical="center" wrapText="1"/>
      <protection locked="0"/>
    </xf>
    <xf numFmtId="0" fontId="31" fillId="2" borderId="43" xfId="0" applyFont="1" applyFill="1" applyBorder="1" applyAlignment="1" applyProtection="1">
      <alignment vertical="center" wrapText="1"/>
      <protection locked="0"/>
    </xf>
    <xf numFmtId="0" fontId="31" fillId="2" borderId="49" xfId="0" applyFont="1" applyFill="1" applyBorder="1" applyAlignment="1" applyProtection="1">
      <alignment vertical="center" wrapText="1"/>
      <protection locked="0"/>
    </xf>
    <xf numFmtId="0" fontId="31" fillId="2" borderId="40" xfId="0" applyFont="1" applyFill="1" applyBorder="1" applyAlignment="1" applyProtection="1">
      <alignment vertical="center" wrapText="1"/>
      <protection locked="0"/>
    </xf>
    <xf numFmtId="0" fontId="21" fillId="2" borderId="120" xfId="0" applyFont="1" applyFill="1" applyBorder="1" applyAlignment="1" applyProtection="1">
      <alignment horizontal="center"/>
      <protection locked="0"/>
    </xf>
    <xf numFmtId="0" fontId="21" fillId="2" borderId="99" xfId="0" applyFont="1" applyFill="1" applyBorder="1" applyAlignment="1" applyProtection="1">
      <alignment horizontal="center"/>
      <protection locked="0"/>
    </xf>
    <xf numFmtId="3" fontId="18" fillId="2" borderId="69" xfId="0" applyNumberFormat="1" applyFont="1" applyFill="1" applyBorder="1" applyAlignment="1" applyProtection="1">
      <alignment horizontal="center" vertical="center"/>
      <protection locked="0"/>
    </xf>
    <xf numFmtId="3" fontId="18" fillId="2" borderId="119" xfId="0" applyNumberFormat="1" applyFont="1" applyFill="1" applyBorder="1" applyAlignment="1" applyProtection="1">
      <alignment horizontal="center" vertical="center"/>
      <protection locked="0"/>
    </xf>
    <xf numFmtId="0" fontId="18" fillId="2" borderId="82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center" wrapText="1"/>
      <protection locked="0"/>
    </xf>
    <xf numFmtId="0" fontId="18" fillId="2" borderId="114" xfId="0" applyFont="1" applyFill="1" applyBorder="1" applyAlignment="1" applyProtection="1">
      <alignment horizontal="center" vertical="center" wrapText="1"/>
      <protection locked="0"/>
    </xf>
    <xf numFmtId="0" fontId="21" fillId="2" borderId="77" xfId="0" applyFont="1" applyFill="1" applyBorder="1" applyAlignment="1" applyProtection="1">
      <alignment horizontal="center"/>
      <protection locked="0"/>
    </xf>
    <xf numFmtId="0" fontId="21" fillId="2" borderId="98" xfId="0" applyFont="1" applyFill="1" applyBorder="1" applyAlignment="1" applyProtection="1">
      <alignment horizontal="center"/>
      <protection locked="0"/>
    </xf>
    <xf numFmtId="0" fontId="18" fillId="2" borderId="76" xfId="0" applyFont="1" applyFill="1" applyBorder="1" applyAlignment="1" applyProtection="1">
      <alignment horizontal="center" vertical="center" wrapText="1"/>
      <protection locked="0"/>
    </xf>
    <xf numFmtId="0" fontId="18" fillId="2" borderId="115" xfId="0" applyFont="1" applyFill="1" applyBorder="1" applyAlignment="1" applyProtection="1">
      <alignment horizontal="center"/>
      <protection locked="0"/>
    </xf>
    <xf numFmtId="0" fontId="18" fillId="2" borderId="116" xfId="0" applyFont="1" applyFill="1" applyBorder="1" applyAlignment="1" applyProtection="1">
      <alignment horizontal="center"/>
      <protection locked="0"/>
    </xf>
    <xf numFmtId="0" fontId="17" fillId="2" borderId="0" xfId="3" applyFont="1" applyFill="1" applyAlignment="1" applyProtection="1">
      <alignment horizontal="left" vertical="center" indent="1"/>
      <protection locked="0"/>
    </xf>
    <xf numFmtId="0" fontId="17" fillId="2" borderId="0" xfId="3" applyFont="1" applyFill="1" applyAlignment="1" applyProtection="1">
      <alignment horizontal="center" vertical="center"/>
      <protection locked="0"/>
    </xf>
    <xf numFmtId="0" fontId="31" fillId="2" borderId="56" xfId="0" applyFont="1" applyFill="1" applyBorder="1" applyAlignment="1" applyProtection="1">
      <alignment vertical="center" wrapText="1"/>
      <protection locked="0"/>
    </xf>
    <xf numFmtId="0" fontId="31" fillId="2" borderId="42" xfId="0" applyFont="1" applyFill="1" applyBorder="1" applyAlignment="1" applyProtection="1">
      <alignment vertical="center" wrapText="1"/>
      <protection locked="0"/>
    </xf>
    <xf numFmtId="0" fontId="18" fillId="2" borderId="48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horizontal="center" vertical="center" wrapText="1"/>
      <protection locked="0"/>
    </xf>
    <xf numFmtId="0" fontId="21" fillId="2" borderId="41" xfId="0" applyFont="1" applyFill="1" applyBorder="1" applyAlignment="1" applyProtection="1">
      <alignment horizontal="center" vertical="center" wrapText="1"/>
      <protection locked="0"/>
    </xf>
    <xf numFmtId="0" fontId="18" fillId="2" borderId="105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wrapText="1"/>
      <protection locked="0"/>
    </xf>
    <xf numFmtId="0" fontId="21" fillId="2" borderId="106" xfId="0" applyFont="1" applyFill="1" applyBorder="1" applyAlignment="1" applyProtection="1">
      <alignment wrapText="1"/>
      <protection locked="0"/>
    </xf>
    <xf numFmtId="0" fontId="21" fillId="2" borderId="67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 applyProtection="1">
      <alignment wrapText="1"/>
      <protection locked="0"/>
    </xf>
    <xf numFmtId="0" fontId="21" fillId="2" borderId="71" xfId="0" applyFont="1" applyFill="1" applyBorder="1" applyAlignment="1" applyProtection="1">
      <alignment wrapText="1"/>
      <protection locked="0"/>
    </xf>
    <xf numFmtId="3" fontId="18" fillId="2" borderId="107" xfId="0" applyNumberFormat="1" applyFont="1" applyFill="1" applyBorder="1" applyAlignment="1" applyProtection="1">
      <alignment horizontal="center" vertical="center"/>
      <protection locked="0"/>
    </xf>
    <xf numFmtId="0" fontId="21" fillId="2" borderId="107" xfId="0" applyFont="1" applyFill="1" applyBorder="1" applyAlignment="1" applyProtection="1">
      <alignment horizontal="center" vertical="center"/>
      <protection locked="0"/>
    </xf>
    <xf numFmtId="0" fontId="21" fillId="2" borderId="108" xfId="0" applyFont="1" applyFill="1" applyBorder="1" applyAlignment="1" applyProtection="1">
      <alignment horizontal="center" vertical="center"/>
      <protection locked="0"/>
    </xf>
    <xf numFmtId="0" fontId="18" fillId="2" borderId="69" xfId="0" applyFont="1" applyFill="1" applyBorder="1" applyAlignment="1" applyProtection="1">
      <alignment horizontal="center" wrapText="1"/>
      <protection locked="0"/>
    </xf>
    <xf numFmtId="0" fontId="18" fillId="2" borderId="68" xfId="0" applyFont="1" applyFill="1" applyBorder="1" applyAlignment="1" applyProtection="1">
      <alignment horizontal="center" wrapText="1"/>
      <protection locked="0"/>
    </xf>
    <xf numFmtId="0" fontId="21" fillId="2" borderId="77" xfId="0" applyFont="1" applyFill="1" applyBorder="1" applyAlignment="1" applyProtection="1">
      <alignment horizontal="center" wrapText="1"/>
      <protection locked="0"/>
    </xf>
    <xf numFmtId="0" fontId="21" fillId="2" borderId="98" xfId="0" applyFont="1" applyFill="1" applyBorder="1" applyAlignment="1" applyProtection="1">
      <alignment horizontal="center" wrapText="1"/>
      <protection locked="0"/>
    </xf>
    <xf numFmtId="3" fontId="18" fillId="2" borderId="67" xfId="0" applyNumberFormat="1" applyFont="1" applyFill="1" applyBorder="1" applyAlignment="1" applyProtection="1">
      <alignment horizontal="center" vertical="center"/>
      <protection locked="0"/>
    </xf>
    <xf numFmtId="3" fontId="18" fillId="2" borderId="0" xfId="0" applyNumberFormat="1" applyFont="1" applyFill="1" applyAlignment="1" applyProtection="1">
      <alignment horizontal="center" vertical="center"/>
      <protection locked="0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31" fillId="2" borderId="48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49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left" vertical="center" indent="1"/>
      <protection locked="0"/>
    </xf>
    <xf numFmtId="0" fontId="13" fillId="2" borderId="0" xfId="0" applyFont="1" applyFill="1" applyAlignment="1" applyProtection="1">
      <alignment horizontal="left" vertical="center" indent="1"/>
      <protection locked="0"/>
    </xf>
    <xf numFmtId="0" fontId="42" fillId="5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2" borderId="56" xfId="0" applyFont="1" applyFill="1" applyBorder="1" applyAlignment="1" applyProtection="1">
      <alignment horizontal="center" vertical="center" wrapText="1"/>
      <protection locked="0"/>
    </xf>
    <xf numFmtId="0" fontId="18" fillId="2" borderId="42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left" vertical="center" indent="1"/>
      <protection locked="0"/>
    </xf>
    <xf numFmtId="0" fontId="20" fillId="2" borderId="37" xfId="0" applyFont="1" applyFill="1" applyBorder="1" applyAlignment="1" applyProtection="1">
      <alignment horizontal="center" vertical="center" wrapText="1"/>
      <protection hidden="1"/>
    </xf>
    <xf numFmtId="0" fontId="20" fillId="2" borderId="29" xfId="0" applyFont="1" applyFill="1" applyBorder="1" applyAlignment="1" applyProtection="1">
      <alignment horizontal="center" vertical="center" wrapText="1"/>
      <protection hidden="1"/>
    </xf>
    <xf numFmtId="0" fontId="20" fillId="2" borderId="33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 indent="2"/>
      <protection hidden="1"/>
    </xf>
    <xf numFmtId="0" fontId="0" fillId="2" borderId="7" xfId="0" applyFill="1" applyBorder="1" applyAlignment="1" applyProtection="1">
      <alignment horizontal="left" vertical="center" wrapText="1" indent="2"/>
      <protection hidden="1"/>
    </xf>
    <xf numFmtId="0" fontId="18" fillId="2" borderId="37" xfId="2" applyFont="1" applyFill="1" applyBorder="1" applyAlignment="1" applyProtection="1">
      <alignment horizontal="left" vertical="center" wrapText="1" indent="2"/>
      <protection hidden="1"/>
    </xf>
    <xf numFmtId="0" fontId="11" fillId="2" borderId="29" xfId="0" applyFont="1" applyFill="1" applyBorder="1" applyAlignment="1" applyProtection="1">
      <alignment horizontal="left" vertical="center" wrapText="1" indent="2"/>
      <protection hidden="1"/>
    </xf>
    <xf numFmtId="0" fontId="11" fillId="2" borderId="33" xfId="0" applyFont="1" applyFill="1" applyBorder="1" applyAlignment="1" applyProtection="1">
      <alignment horizontal="left" vertical="center" wrapText="1" indent="2"/>
      <protection hidden="1"/>
    </xf>
    <xf numFmtId="0" fontId="18" fillId="2" borderId="27" xfId="0" applyFont="1" applyFill="1" applyBorder="1" applyAlignment="1" applyProtection="1">
      <alignment vertical="center" wrapText="1"/>
      <protection hidden="1"/>
    </xf>
    <xf numFmtId="0" fontId="20" fillId="2" borderId="28" xfId="0" applyFont="1" applyFill="1" applyBorder="1" applyAlignment="1" applyProtection="1">
      <alignment vertical="center" wrapText="1"/>
      <protection hidden="1"/>
    </xf>
    <xf numFmtId="0" fontId="20" fillId="2" borderId="92" xfId="0" applyFont="1" applyFill="1" applyBorder="1" applyAlignment="1" applyProtection="1">
      <alignment vertical="center" wrapText="1"/>
      <protection hidden="1"/>
    </xf>
    <xf numFmtId="0" fontId="18" fillId="2" borderId="37" xfId="2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 wrapText="1"/>
      <protection hidden="1"/>
    </xf>
    <xf numFmtId="0" fontId="20" fillId="2" borderId="7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hidden="1"/>
    </xf>
    <xf numFmtId="0" fontId="18" fillId="2" borderId="33" xfId="0" applyFont="1" applyFill="1" applyBorder="1" applyAlignment="1" applyProtection="1">
      <alignment horizontal="center" vertical="center" wrapText="1"/>
      <protection hidden="1"/>
    </xf>
    <xf numFmtId="0" fontId="18" fillId="2" borderId="29" xfId="2" applyFont="1" applyFill="1" applyBorder="1" applyAlignment="1" applyProtection="1">
      <alignment horizontal="left" vertical="center" wrapText="1" indent="2"/>
      <protection hidden="1"/>
    </xf>
    <xf numFmtId="0" fontId="31" fillId="2" borderId="29" xfId="0" applyFont="1" applyFill="1" applyBorder="1" applyAlignment="1" applyProtection="1">
      <alignment horizontal="left" vertical="center" wrapText="1" indent="2"/>
      <protection hidden="1"/>
    </xf>
    <xf numFmtId="0" fontId="31" fillId="2" borderId="33" xfId="0" applyFont="1" applyFill="1" applyBorder="1" applyAlignment="1" applyProtection="1">
      <alignment horizontal="left" vertical="center" wrapText="1" indent="2"/>
      <protection hidden="1"/>
    </xf>
    <xf numFmtId="0" fontId="21" fillId="2" borderId="37" xfId="2" applyFont="1" applyFill="1" applyBorder="1" applyAlignment="1" applyProtection="1">
      <alignment horizontal="left" vertical="center" wrapText="1" indent="2"/>
      <protection hidden="1"/>
    </xf>
    <xf numFmtId="0" fontId="31" fillId="2" borderId="27" xfId="0" applyFont="1" applyFill="1" applyBorder="1" applyAlignment="1" applyProtection="1">
      <alignment horizontal="left" vertical="center" wrapText="1" indent="2"/>
      <protection hidden="1"/>
    </xf>
    <xf numFmtId="0" fontId="21" fillId="2" borderId="9" xfId="2" applyFont="1" applyFill="1" applyBorder="1" applyAlignment="1" applyProtection="1">
      <alignment horizontal="left" vertical="center" wrapText="1" indent="2"/>
      <protection hidden="1"/>
    </xf>
    <xf numFmtId="0" fontId="18" fillId="2" borderId="37" xfId="0" applyFont="1" applyFill="1" applyBorder="1" applyAlignment="1" applyProtection="1">
      <alignment horizontal="center" vertical="center" wrapText="1"/>
      <protection hidden="1"/>
    </xf>
    <xf numFmtId="0" fontId="18" fillId="2" borderId="4" xfId="2" applyFont="1" applyFill="1" applyBorder="1" applyAlignment="1" applyProtection="1">
      <alignment horizontal="center" vertical="center" wrapText="1"/>
      <protection hidden="1"/>
    </xf>
    <xf numFmtId="0" fontId="31" fillId="2" borderId="57" xfId="0" applyFont="1" applyFill="1" applyBorder="1" applyAlignment="1" applyProtection="1">
      <alignment horizontal="center" vertical="center" wrapText="1"/>
      <protection hidden="1"/>
    </xf>
    <xf numFmtId="0" fontId="31" fillId="2" borderId="31" xfId="0" applyFont="1" applyFill="1" applyBorder="1" applyAlignment="1" applyProtection="1">
      <alignment horizontal="center" vertical="center" wrapText="1"/>
      <protection hidden="1"/>
    </xf>
    <xf numFmtId="0" fontId="31" fillId="2" borderId="29" xfId="0" applyFont="1" applyFill="1" applyBorder="1" applyAlignment="1" applyProtection="1">
      <alignment vertical="center" wrapText="1"/>
      <protection hidden="1"/>
    </xf>
    <xf numFmtId="0" fontId="31" fillId="2" borderId="33" xfId="0" applyFont="1" applyFill="1" applyBorder="1" applyAlignment="1" applyProtection="1">
      <alignment vertical="center" wrapText="1"/>
      <protection hidden="1"/>
    </xf>
    <xf numFmtId="0" fontId="18" fillId="2" borderId="37" xfId="2" applyFont="1" applyFill="1" applyBorder="1" applyAlignment="1" applyProtection="1">
      <alignment horizontal="center" vertical="center" wrapText="1"/>
      <protection hidden="1"/>
    </xf>
    <xf numFmtId="0" fontId="31" fillId="2" borderId="29" xfId="0" applyFont="1" applyFill="1" applyBorder="1" applyAlignment="1" applyProtection="1">
      <alignment horizontal="center" vertical="center" wrapText="1"/>
      <protection hidden="1"/>
    </xf>
    <xf numFmtId="0" fontId="31" fillId="2" borderId="33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0" fontId="0" fillId="2" borderId="56" xfId="0" applyFill="1" applyBorder="1" applyAlignment="1" applyProtection="1">
      <alignment horizontal="center" vertical="center" wrapText="1"/>
      <protection hidden="1"/>
    </xf>
    <xf numFmtId="0" fontId="0" fillId="2" borderId="42" xfId="0" applyFill="1" applyBorder="1" applyAlignment="1" applyProtection="1">
      <alignment horizontal="center" vertical="center" wrapText="1"/>
      <protection hidden="1"/>
    </xf>
    <xf numFmtId="0" fontId="18" fillId="2" borderId="8" xfId="2" applyFont="1" applyFill="1" applyBorder="1" applyAlignment="1" applyProtection="1">
      <alignment horizontal="center" vertical="center" wrapText="1"/>
      <protection hidden="1"/>
    </xf>
    <xf numFmtId="0" fontId="31" fillId="2" borderId="59" xfId="0" applyFont="1" applyFill="1" applyBorder="1" applyAlignment="1" applyProtection="1">
      <alignment vertical="center" wrapText="1"/>
      <protection hidden="1"/>
    </xf>
    <xf numFmtId="0" fontId="31" fillId="2" borderId="61" xfId="0" applyFont="1" applyFill="1" applyBorder="1" applyAlignment="1" applyProtection="1">
      <alignment vertical="center" wrapText="1"/>
      <protection hidden="1"/>
    </xf>
    <xf numFmtId="0" fontId="31" fillId="2" borderId="59" xfId="0" applyFont="1" applyFill="1" applyBorder="1" applyAlignment="1" applyProtection="1">
      <alignment horizontal="center" vertical="center" wrapText="1"/>
      <protection hidden="1"/>
    </xf>
    <xf numFmtId="0" fontId="31" fillId="2" borderId="61" xfId="0" applyFont="1" applyFill="1" applyBorder="1" applyAlignment="1" applyProtection="1">
      <alignment horizontal="center" vertical="center" wrapText="1"/>
      <protection hidden="1"/>
    </xf>
    <xf numFmtId="0" fontId="31" fillId="2" borderId="57" xfId="0" applyFont="1" applyFill="1" applyBorder="1" applyAlignment="1" applyProtection="1">
      <alignment vertical="center" wrapText="1"/>
      <protection hidden="1"/>
    </xf>
    <xf numFmtId="0" fontId="31" fillId="2" borderId="31" xfId="0" applyFont="1" applyFill="1" applyBorder="1" applyAlignment="1" applyProtection="1">
      <alignment vertical="center" wrapText="1"/>
      <protection hidden="1"/>
    </xf>
    <xf numFmtId="0" fontId="20" fillId="2" borderId="9" xfId="0" applyFont="1" applyFill="1" applyBorder="1" applyAlignment="1" applyProtection="1">
      <alignment horizontal="center" vertical="center" wrapText="1"/>
      <protection hidden="1"/>
    </xf>
    <xf numFmtId="0" fontId="21" fillId="2" borderId="29" xfId="2" applyFont="1" applyFill="1" applyBorder="1" applyAlignment="1" applyProtection="1">
      <alignment horizontal="left" vertical="center" wrapText="1" indent="2"/>
      <protection hidden="1"/>
    </xf>
    <xf numFmtId="0" fontId="20" fillId="2" borderId="92" xfId="0" applyFont="1" applyFill="1" applyBorder="1" applyAlignment="1" applyProtection="1">
      <alignment horizontal="left" vertical="center" wrapText="1" indent="2"/>
      <protection hidden="1"/>
    </xf>
    <xf numFmtId="0" fontId="11" fillId="2" borderId="29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horizontal="center" vertical="center" wrapText="1"/>
      <protection hidden="1"/>
    </xf>
    <xf numFmtId="0" fontId="20" fillId="2" borderId="7" xfId="0" applyFont="1" applyFill="1" applyBorder="1" applyAlignment="1" applyProtection="1">
      <alignment horizontal="left" vertical="center" wrapText="1" indent="2"/>
      <protection hidden="1"/>
    </xf>
    <xf numFmtId="0" fontId="18" fillId="2" borderId="4" xfId="0" applyFont="1" applyFill="1" applyBorder="1" applyAlignment="1" applyProtection="1">
      <alignment horizontal="left" vertical="center" wrapText="1" indent="2"/>
      <protection hidden="1"/>
    </xf>
    <xf numFmtId="0" fontId="20" fillId="2" borderId="8" xfId="0" applyFont="1" applyFill="1" applyBorder="1" applyAlignment="1" applyProtection="1">
      <alignment horizontal="left" vertical="center" wrapText="1" indent="2"/>
      <protection hidden="1"/>
    </xf>
    <xf numFmtId="0" fontId="20" fillId="2" borderId="9" xfId="0" applyFont="1" applyFill="1" applyBorder="1" applyAlignment="1" applyProtection="1">
      <alignment horizontal="left" vertical="center" wrapText="1" indent="2"/>
      <protection hidden="1"/>
    </xf>
    <xf numFmtId="0" fontId="1" fillId="2" borderId="49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Alignment="1" applyProtection="1">
      <alignment horizontal="center" vertical="center" wrapText="1"/>
      <protection hidden="1"/>
    </xf>
    <xf numFmtId="0" fontId="0" fillId="2" borderId="32" xfId="0" applyFill="1" applyBorder="1" applyAlignment="1" applyProtection="1">
      <alignment horizontal="center" vertical="center" wrapText="1"/>
      <protection hidden="1"/>
    </xf>
    <xf numFmtId="0" fontId="11" fillId="2" borderId="59" xfId="0" applyFont="1" applyFill="1" applyBorder="1" applyAlignment="1" applyProtection="1">
      <alignment vertical="center" wrapText="1"/>
      <protection hidden="1"/>
    </xf>
    <xf numFmtId="0" fontId="11" fillId="2" borderId="61" xfId="0" applyFont="1" applyFill="1" applyBorder="1" applyAlignment="1" applyProtection="1">
      <alignment vertical="center" wrapText="1"/>
      <protection hidden="1"/>
    </xf>
    <xf numFmtId="0" fontId="18" fillId="2" borderId="85" xfId="0" applyFont="1" applyFill="1" applyBorder="1" applyAlignment="1" applyProtection="1">
      <alignment horizontal="center" vertical="center" wrapText="1"/>
      <protection hidden="1"/>
    </xf>
    <xf numFmtId="0" fontId="20" fillId="2" borderId="23" xfId="0" applyFont="1" applyFill="1" applyBorder="1" applyAlignment="1" applyProtection="1">
      <alignment horizontal="center" vertical="center" wrapText="1"/>
      <protection hidden="1"/>
    </xf>
    <xf numFmtId="0" fontId="20" fillId="2" borderId="83" xfId="0" applyFont="1" applyFill="1" applyBorder="1" applyAlignment="1" applyProtection="1">
      <alignment horizontal="center" vertical="center" wrapText="1"/>
      <protection hidden="1"/>
    </xf>
    <xf numFmtId="0" fontId="20" fillId="2" borderId="25" xfId="0" applyFont="1" applyFill="1" applyBorder="1" applyAlignment="1" applyProtection="1">
      <alignment horizontal="center" vertical="center" wrapText="1"/>
      <protection hidden="1"/>
    </xf>
    <xf numFmtId="0" fontId="20" fillId="2" borderId="15" xfId="0" applyFont="1" applyFill="1" applyBorder="1" applyAlignment="1" applyProtection="1">
      <alignment horizontal="center" vertical="center" wrapText="1"/>
      <protection hidden="1"/>
    </xf>
    <xf numFmtId="0" fontId="20" fillId="2" borderId="16" xfId="0" applyFont="1" applyFill="1" applyBorder="1" applyAlignment="1" applyProtection="1">
      <alignment horizontal="center" vertical="center" wrapText="1"/>
      <protection hidden="1"/>
    </xf>
    <xf numFmtId="0" fontId="20" fillId="2" borderId="26" xfId="0" applyFont="1" applyFill="1" applyBorder="1" applyAlignment="1" applyProtection="1">
      <alignment horizontal="center" vertical="center" wrapText="1"/>
      <protection hidden="1"/>
    </xf>
    <xf numFmtId="0" fontId="20" fillId="2" borderId="21" xfId="0" applyFont="1" applyFill="1" applyBorder="1" applyAlignment="1" applyProtection="1">
      <alignment horizontal="center" vertical="center" wrapText="1"/>
      <protection hidden="1"/>
    </xf>
    <xf numFmtId="0" fontId="20" fillId="2" borderId="84" xfId="0" applyFont="1" applyFill="1" applyBorder="1" applyAlignment="1" applyProtection="1">
      <alignment horizontal="center" vertical="center" wrapText="1"/>
      <protection hidden="1"/>
    </xf>
    <xf numFmtId="0" fontId="11" fillId="2" borderId="57" xfId="0" applyFont="1" applyFill="1" applyBorder="1" applyAlignment="1" applyProtection="1">
      <alignment vertical="center" wrapText="1"/>
      <protection hidden="1"/>
    </xf>
    <xf numFmtId="0" fontId="11" fillId="2" borderId="31" xfId="0" applyFont="1" applyFill="1" applyBorder="1" applyAlignment="1" applyProtection="1">
      <alignment vertical="center" wrapText="1"/>
      <protection hidden="1"/>
    </xf>
    <xf numFmtId="0" fontId="18" fillId="2" borderId="46" xfId="2" applyFont="1" applyFill="1" applyBorder="1" applyAlignment="1" applyProtection="1">
      <alignment horizontal="center" vertical="center" wrapText="1"/>
      <protection hidden="1"/>
    </xf>
    <xf numFmtId="0" fontId="11" fillId="2" borderId="47" xfId="0" applyFont="1" applyFill="1" applyBorder="1" applyAlignment="1" applyProtection="1">
      <alignment horizontal="center" vertical="center" wrapText="1"/>
      <protection hidden="1"/>
    </xf>
    <xf numFmtId="0" fontId="11" fillId="2" borderId="32" xfId="0" applyFont="1" applyFill="1" applyBorder="1" applyAlignment="1" applyProtection="1">
      <alignment horizontal="center" vertical="center" wrapText="1"/>
      <protection hidden="1"/>
    </xf>
    <xf numFmtId="0" fontId="1" fillId="2" borderId="41" xfId="0" applyFont="1" applyFill="1" applyBorder="1" applyAlignment="1" applyProtection="1">
      <alignment vertical="center" wrapText="1"/>
      <protection hidden="1"/>
    </xf>
    <xf numFmtId="0" fontId="1" fillId="2" borderId="53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43" xfId="0" applyFont="1" applyFill="1" applyBorder="1" applyAlignment="1" applyProtection="1">
      <alignment vertical="center" wrapText="1"/>
      <protection hidden="1"/>
    </xf>
    <xf numFmtId="0" fontId="1" fillId="2" borderId="49" xfId="0" applyFont="1" applyFill="1" applyBorder="1" applyAlignment="1" applyProtection="1">
      <alignment vertical="center" wrapText="1"/>
      <protection hidden="1"/>
    </xf>
    <xf numFmtId="0" fontId="1" fillId="2" borderId="40" xfId="0" applyFont="1" applyFill="1" applyBorder="1" applyAlignment="1" applyProtection="1">
      <alignment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7" fillId="2" borderId="39" xfId="0" applyFont="1" applyFill="1" applyBorder="1" applyAlignment="1" applyProtection="1">
      <alignment horizontal="center" vertical="center" wrapText="1"/>
      <protection hidden="1"/>
    </xf>
    <xf numFmtId="0" fontId="18" fillId="2" borderId="38" xfId="0" applyFont="1" applyFill="1" applyBorder="1" applyAlignment="1" applyProtection="1">
      <alignment horizontal="center" vertical="center" wrapText="1"/>
      <protection hidden="1"/>
    </xf>
    <xf numFmtId="0" fontId="20" fillId="2" borderId="39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6" fillId="2" borderId="28" xfId="0" applyFont="1" applyFill="1" applyBorder="1" applyAlignment="1" applyProtection="1">
      <alignment horizontal="center" vertical="center" wrapText="1"/>
      <protection hidden="1"/>
    </xf>
    <xf numFmtId="0" fontId="26" fillId="2" borderId="92" xfId="0" applyFont="1" applyFill="1" applyBorder="1" applyAlignment="1" applyProtection="1">
      <alignment horizontal="center" vertical="center" wrapText="1"/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26" fillId="2" borderId="30" xfId="0" applyFont="1" applyFill="1" applyBorder="1" applyAlignment="1" applyProtection="1">
      <alignment horizontal="center" vertical="center" wrapText="1"/>
      <protection hidden="1"/>
    </xf>
    <xf numFmtId="0" fontId="26" fillId="2" borderId="95" xfId="0" applyFont="1" applyFill="1" applyBorder="1" applyAlignment="1" applyProtection="1">
      <alignment horizontal="center" vertical="center" wrapText="1"/>
      <protection hidden="1"/>
    </xf>
    <xf numFmtId="0" fontId="18" fillId="2" borderId="47" xfId="0" applyFont="1" applyFill="1" applyBorder="1" applyAlignment="1" applyProtection="1">
      <alignment horizontal="left" vertical="center" wrapText="1" indent="9"/>
      <protection hidden="1"/>
    </xf>
    <xf numFmtId="0" fontId="18" fillId="2" borderId="32" xfId="0" applyFont="1" applyFill="1" applyBorder="1" applyAlignment="1" applyProtection="1">
      <alignment horizontal="left" vertical="center" wrapText="1" indent="9"/>
      <protection hidden="1"/>
    </xf>
    <xf numFmtId="0" fontId="1" fillId="2" borderId="48" xfId="0" applyFont="1" applyFill="1" applyBorder="1" applyAlignment="1" applyProtection="1">
      <alignment vertical="center" wrapText="1"/>
      <protection hidden="1"/>
    </xf>
    <xf numFmtId="0" fontId="21" fillId="2" borderId="10" xfId="0" applyFont="1" applyFill="1" applyBorder="1" applyAlignment="1" applyProtection="1">
      <alignment horizontal="center" vertical="center" wrapText="1"/>
      <protection hidden="1"/>
    </xf>
    <xf numFmtId="0" fontId="26" fillId="2" borderId="14" xfId="0" applyFont="1" applyFill="1" applyBorder="1" applyAlignment="1" applyProtection="1">
      <alignment horizontal="center" vertical="center" wrapText="1"/>
      <protection hidden="1"/>
    </xf>
    <xf numFmtId="0" fontId="26" fillId="2" borderId="90" xfId="0" applyFont="1" applyFill="1" applyBorder="1" applyAlignment="1" applyProtection="1">
      <alignment horizontal="center" vertical="center" wrapText="1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hidden="1"/>
    </xf>
    <xf numFmtId="0" fontId="0" fillId="2" borderId="17" xfId="0" applyFill="1" applyBorder="1" applyAlignment="1" applyProtection="1">
      <alignment horizontal="center" vertical="center" wrapText="1"/>
      <protection hidden="1"/>
    </xf>
    <xf numFmtId="0" fontId="0" fillId="2" borderId="91" xfId="0" applyFill="1" applyBorder="1" applyAlignment="1" applyProtection="1">
      <alignment horizontal="center" vertical="center" wrapText="1"/>
      <protection hidden="1"/>
    </xf>
    <xf numFmtId="0" fontId="1" fillId="2" borderId="56" xfId="0" applyFont="1" applyFill="1" applyBorder="1" applyAlignment="1" applyProtection="1">
      <alignment horizontal="left" vertical="center" wrapText="1"/>
      <protection hidden="1"/>
    </xf>
    <xf numFmtId="0" fontId="1" fillId="2" borderId="42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43" xfId="0" applyFont="1" applyFill="1" applyBorder="1" applyAlignment="1" applyProtection="1">
      <alignment horizontal="left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31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Alignment="1" applyProtection="1">
      <alignment horizontal="left"/>
      <protection hidden="1"/>
    </xf>
    <xf numFmtId="0" fontId="18" fillId="2" borderId="20" xfId="0" applyFont="1" applyFill="1" applyBorder="1" applyAlignment="1" applyProtection="1">
      <alignment horizontal="center" vertical="center" wrapText="1"/>
      <protection hidden="1"/>
    </xf>
    <xf numFmtId="0" fontId="20" fillId="2" borderId="65" xfId="0" applyFont="1" applyFill="1" applyBorder="1" applyAlignment="1" applyProtection="1">
      <alignment horizontal="center" vertical="center" wrapText="1"/>
      <protection hidden="1"/>
    </xf>
    <xf numFmtId="0" fontId="18" fillId="2" borderId="22" xfId="0" applyFont="1" applyFill="1" applyBorder="1" applyAlignment="1" applyProtection="1">
      <alignment horizontal="center" vertical="center" wrapText="1"/>
      <protection hidden="1"/>
    </xf>
    <xf numFmtId="0" fontId="12" fillId="2" borderId="73" xfId="0" applyFont="1" applyFill="1" applyBorder="1" applyAlignment="1" applyProtection="1">
      <alignment horizontal="center" vertical="center" wrapText="1"/>
      <protection hidden="1"/>
    </xf>
    <xf numFmtId="0" fontId="11" fillId="2" borderId="33" xfId="0" applyFont="1" applyFill="1" applyBorder="1" applyAlignment="1" applyProtection="1">
      <alignment vertical="center" wrapText="1"/>
      <protection hidden="1"/>
    </xf>
    <xf numFmtId="0" fontId="11" fillId="2" borderId="47" xfId="0" applyFont="1" applyFill="1" applyBorder="1" applyAlignment="1" applyProtection="1">
      <alignment vertical="center" wrapText="1"/>
      <protection hidden="1"/>
    </xf>
    <xf numFmtId="0" fontId="11" fillId="2" borderId="32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horizontal="center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0" fontId="18" fillId="2" borderId="37" xfId="0" applyFont="1" applyFill="1" applyBorder="1" applyAlignment="1" applyProtection="1">
      <alignment horizontal="left" vertical="top" wrapText="1"/>
      <protection hidden="1"/>
    </xf>
    <xf numFmtId="0" fontId="18" fillId="2" borderId="29" xfId="0" applyFont="1" applyFill="1" applyBorder="1" applyAlignment="1" applyProtection="1">
      <alignment horizontal="left" vertical="top" wrapText="1"/>
      <protection hidden="1"/>
    </xf>
    <xf numFmtId="0" fontId="18" fillId="2" borderId="33" xfId="0" applyFont="1" applyFill="1" applyBorder="1" applyAlignment="1" applyProtection="1">
      <alignment horizontal="left" vertical="top" wrapText="1"/>
      <protection hidden="1"/>
    </xf>
    <xf numFmtId="0" fontId="18" fillId="2" borderId="42" xfId="0" applyFont="1" applyFill="1" applyBorder="1" applyAlignment="1" applyProtection="1">
      <alignment horizontal="center" vertical="center" wrapText="1"/>
      <protection hidden="1"/>
    </xf>
    <xf numFmtId="0" fontId="18" fillId="2" borderId="43" xfId="0" applyFont="1" applyFill="1" applyBorder="1" applyAlignment="1" applyProtection="1">
      <alignment horizontal="center" vertical="center" wrapText="1"/>
      <protection hidden="1"/>
    </xf>
    <xf numFmtId="0" fontId="18" fillId="2" borderId="40" xfId="0" applyFont="1" applyFill="1" applyBorder="1" applyAlignment="1" applyProtection="1">
      <alignment horizontal="center" vertical="center" wrapText="1"/>
      <protection hidden="1"/>
    </xf>
    <xf numFmtId="0" fontId="18" fillId="2" borderId="46" xfId="0" applyFont="1" applyFill="1" applyBorder="1" applyAlignment="1" applyProtection="1">
      <alignment horizontal="center" vertical="center" wrapText="1"/>
      <protection hidden="1"/>
    </xf>
    <xf numFmtId="0" fontId="18" fillId="2" borderId="47" xfId="0" applyFont="1" applyFill="1" applyBorder="1" applyAlignment="1" applyProtection="1">
      <alignment horizontal="center" vertical="center" wrapText="1"/>
      <protection hidden="1"/>
    </xf>
    <xf numFmtId="0" fontId="18" fillId="2" borderId="32" xfId="0" applyFont="1" applyFill="1" applyBorder="1" applyAlignment="1" applyProtection="1">
      <alignment horizontal="center" vertical="center" wrapText="1"/>
      <protection hidden="1"/>
    </xf>
    <xf numFmtId="0" fontId="3" fillId="2" borderId="37" xfId="0" applyFont="1" applyFill="1" applyBorder="1" applyAlignment="1" applyProtection="1">
      <alignment horizontal="center" vertical="center" wrapText="1"/>
      <protection hidden="1"/>
    </xf>
    <xf numFmtId="0" fontId="3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29" xfId="0" applyFont="1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2" borderId="33" xfId="0" applyFill="1" applyBorder="1" applyAlignment="1" applyProtection="1">
      <alignment horizontal="center" vertical="center" wrapText="1"/>
      <protection hidden="1"/>
    </xf>
    <xf numFmtId="0" fontId="21" fillId="2" borderId="46" xfId="2" applyFont="1" applyFill="1" applyBorder="1" applyAlignment="1" applyProtection="1">
      <alignment horizontal="center" vertical="center"/>
      <protection hidden="1"/>
    </xf>
    <xf numFmtId="0" fontId="21" fillId="2" borderId="32" xfId="2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 applyProtection="1">
      <alignment vertical="center" wrapText="1"/>
      <protection hidden="1"/>
    </xf>
    <xf numFmtId="0" fontId="7" fillId="2" borderId="33" xfId="0" applyFont="1" applyFill="1" applyBorder="1" applyAlignment="1" applyProtection="1">
      <alignment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28" xfId="0" applyFont="1" applyFill="1" applyBorder="1" applyAlignment="1" applyProtection="1">
      <alignment vertical="center" wrapText="1"/>
      <protection hidden="1"/>
    </xf>
    <xf numFmtId="0" fontId="7" fillId="2" borderId="7" xfId="0" applyFont="1" applyFill="1" applyBorder="1" applyAlignment="1" applyProtection="1">
      <alignment vertical="center" wrapText="1"/>
      <protection hidden="1"/>
    </xf>
    <xf numFmtId="0" fontId="3" fillId="2" borderId="41" xfId="0" applyFont="1" applyFill="1" applyBorder="1" applyAlignment="1" applyProtection="1">
      <alignment horizontal="center" vertical="center" wrapText="1"/>
      <protection hidden="1"/>
    </xf>
    <xf numFmtId="0" fontId="7" fillId="2" borderId="41" xfId="0" applyFont="1" applyFill="1" applyBorder="1" applyAlignment="1" applyProtection="1">
      <alignment horizontal="center" vertical="center" wrapText="1"/>
      <protection hidden="1"/>
    </xf>
    <xf numFmtId="0" fontId="7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48" xfId="0" applyFont="1" applyFill="1" applyBorder="1" applyAlignment="1" applyProtection="1">
      <alignment horizontal="center" vertical="center" wrapText="1"/>
      <protection hidden="1"/>
    </xf>
    <xf numFmtId="0" fontId="7" fillId="2" borderId="53" xfId="0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6" fillId="2" borderId="30" xfId="0" applyFont="1" applyFill="1" applyBorder="1" applyAlignment="1" applyProtection="1">
      <alignment horizontal="center" vertical="center" wrapText="1"/>
      <protection hidden="1"/>
    </xf>
    <xf numFmtId="0" fontId="6" fillId="2" borderId="55" xfId="0" applyFont="1" applyFill="1" applyBorder="1" applyAlignment="1" applyProtection="1">
      <alignment horizontal="center" vertical="center" wrapText="1"/>
      <protection hidden="1"/>
    </xf>
    <xf numFmtId="0" fontId="0" fillId="2" borderId="53" xfId="0" applyFill="1" applyBorder="1" applyAlignment="1" applyProtection="1">
      <alignment horizontal="center" vertical="center" wrapText="1"/>
      <protection hidden="1"/>
    </xf>
    <xf numFmtId="0" fontId="18" fillId="2" borderId="0" xfId="2" applyFont="1" applyFill="1" applyAlignment="1" applyProtection="1">
      <alignment horizontal="center" vertical="center"/>
      <protection hidden="1"/>
    </xf>
  </cellXfs>
  <cellStyles count="6">
    <cellStyle name="Hyperlink" xfId="1" builtinId="8"/>
    <cellStyle name="Hyperlink 2" xfId="4" xr:uid="{00000000-0005-0000-0000-000001000000}"/>
    <cellStyle name="Normal" xfId="0" builtinId="0"/>
    <cellStyle name="Normal 2" xfId="5" xr:uid="{00000000-0005-0000-0000-000003000000}"/>
    <cellStyle name="Normal 3" xfId="3" xr:uid="{00000000-0005-0000-0000-000004000000}"/>
    <cellStyle name="Normal_Sheet1" xfId="2" xr:uid="{00000000-0005-0000-0000-000005000000}"/>
  </cellStyles>
  <dxfs count="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C91C6"/>
      <color rgb="FF99D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427828</xdr:colOff>
      <xdr:row>5</xdr:row>
      <xdr:rowOff>68704</xdr:rowOff>
    </xdr:to>
    <xdr:pic>
      <xdr:nvPicPr>
        <xdr:cNvPr id="5" name="Picture 4" descr="Scottish Funding Council Logo">
          <a:extLst>
            <a:ext uri="{FF2B5EF4-FFF2-40B4-BE49-F238E27FC236}">
              <a16:creationId xmlns:a16="http://schemas.microsoft.com/office/drawing/2014/main" id="{8061BBB7-BBB4-4D31-A689-5F983323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1578" cy="108787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65311</xdr:colOff>
      <xdr:row>0</xdr:row>
      <xdr:rowOff>0</xdr:rowOff>
    </xdr:from>
    <xdr:to>
      <xdr:col>1</xdr:col>
      <xdr:colOff>1696464</xdr:colOff>
      <xdr:row>4</xdr:row>
      <xdr:rowOff>23619</xdr:rowOff>
    </xdr:to>
    <xdr:pic>
      <xdr:nvPicPr>
        <xdr:cNvPr id="3" name="Picture 2" descr="Scottish Funding Council Logo">
          <a:extLst>
            <a:ext uri="{FF2B5EF4-FFF2-40B4-BE49-F238E27FC236}">
              <a16:creationId xmlns:a16="http://schemas.microsoft.com/office/drawing/2014/main" id="{F6402E08-9877-4F77-9571-20DE28ED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1" y="0"/>
          <a:ext cx="3718670" cy="111600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C952C-141C-405B-A9A9-CF5751F3688C}" name="Table1" displayName="Table1" ref="A1:B29" totalsRowShown="0">
  <autoFilter ref="A1:B29" xr:uid="{48EC952C-141C-405B-A9A9-CF5751F3688C}"/>
  <tableColumns count="2">
    <tableColumn id="1" xr3:uid="{FC9D3FD1-30DA-4A44-A902-7FF8EA1DC009}" name="Column1"/>
    <tableColumn id="2" xr3:uid="{8B461D2B-3159-4F88-A4E6-A07E4CA4687F}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areturns@sfc.ac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tareturns@sfc.ac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topLeftCell="A6" zoomScale="80" zoomScaleNormal="80" workbookViewId="0">
      <selection activeCell="F24" sqref="F24:G25"/>
    </sheetView>
  </sheetViews>
  <sheetFormatPr defaultColWidth="0" defaultRowHeight="14.5" zeroHeight="1" x14ac:dyDescent="0.35"/>
  <cols>
    <col min="1" max="1" width="29.1796875" style="244" customWidth="1"/>
    <col min="2" max="2" width="18.54296875" style="244" customWidth="1"/>
    <col min="3" max="3" width="21.453125" style="244" customWidth="1"/>
    <col min="4" max="4" width="26.6328125" style="244" customWidth="1"/>
    <col min="5" max="5" width="12.08984375" style="244" customWidth="1"/>
    <col min="6" max="7" width="18.54296875" style="244" customWidth="1"/>
    <col min="8" max="8" width="15.54296875" style="244" customWidth="1"/>
    <col min="9" max="10" width="10.54296875" style="244" customWidth="1"/>
    <col min="11" max="11" width="13.453125" style="244" customWidth="1"/>
    <col min="12" max="19" width="9.1796875" style="244" customWidth="1"/>
    <col min="20" max="20" width="32.54296875" style="244" customWidth="1"/>
    <col min="21" max="21" width="9.1796875" style="316" customWidth="1"/>
    <col min="22" max="16384" width="9.1796875" style="244" hidden="1"/>
  </cols>
  <sheetData>
    <row r="1" spans="1:15" ht="15.5" hidden="1" x14ac:dyDescent="0.35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5" ht="15.5" hidden="1" x14ac:dyDescent="0.3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1:15" ht="15.5" hidden="1" x14ac:dyDescent="0.3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5" ht="15.5" hidden="1" x14ac:dyDescent="0.35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5" ht="80.400000000000006" customHeight="1" x14ac:dyDescent="0.35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</row>
    <row r="6" spans="1:15" ht="16.399999999999999" customHeight="1" x14ac:dyDescent="0.35">
      <c r="A6" s="321">
        <v>11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</row>
    <row r="7" spans="1:15" ht="23.15" customHeight="1" x14ac:dyDescent="0.35">
      <c r="A7" s="245" t="s">
        <v>275</v>
      </c>
      <c r="B7" s="322"/>
      <c r="C7" s="323"/>
      <c r="D7" s="395"/>
      <c r="E7" s="395"/>
      <c r="F7" s="246"/>
      <c r="G7" s="325"/>
      <c r="H7" s="320"/>
      <c r="I7" s="320"/>
      <c r="J7" s="320"/>
      <c r="K7" s="320"/>
      <c r="L7" s="320"/>
      <c r="M7" s="320"/>
      <c r="N7" s="320"/>
      <c r="O7" s="320"/>
    </row>
    <row r="8" spans="1:15" ht="23.15" customHeight="1" x14ac:dyDescent="0.35">
      <c r="A8" s="322"/>
      <c r="B8" s="322"/>
      <c r="C8" s="323"/>
      <c r="D8" s="324"/>
      <c r="E8" s="324"/>
      <c r="F8" s="246"/>
      <c r="G8" s="325"/>
      <c r="H8" s="320"/>
      <c r="I8" s="320"/>
      <c r="J8" s="320"/>
      <c r="K8" s="320"/>
      <c r="L8" s="320"/>
      <c r="M8" s="320"/>
      <c r="N8" s="320"/>
      <c r="O8" s="320"/>
    </row>
    <row r="9" spans="1:15" ht="23.15" customHeight="1" x14ac:dyDescent="0.35">
      <c r="A9" s="247" t="s">
        <v>0</v>
      </c>
      <c r="B9" s="397" t="s">
        <v>255</v>
      </c>
      <c r="C9" s="397"/>
      <c r="D9" s="248" t="s">
        <v>2</v>
      </c>
      <c r="E9" s="320"/>
      <c r="F9" s="399"/>
      <c r="G9" s="399"/>
      <c r="H9" s="399"/>
      <c r="I9" s="320"/>
      <c r="J9" s="320"/>
      <c r="K9" s="320"/>
      <c r="L9" s="320"/>
      <c r="M9" s="320"/>
      <c r="N9" s="320"/>
      <c r="O9" s="320"/>
    </row>
    <row r="10" spans="1:15" ht="9" customHeight="1" x14ac:dyDescent="0.35">
      <c r="A10" s="247"/>
      <c r="B10" s="320"/>
      <c r="C10" s="320"/>
      <c r="D10" s="318"/>
      <c r="E10" s="326"/>
      <c r="F10" s="326"/>
      <c r="G10" s="326"/>
      <c r="H10" s="326"/>
      <c r="I10" s="320"/>
      <c r="J10" s="320"/>
      <c r="K10" s="320"/>
      <c r="L10" s="320"/>
      <c r="M10" s="320"/>
      <c r="N10" s="320"/>
      <c r="O10" s="320"/>
    </row>
    <row r="11" spans="1:15" ht="23.15" customHeight="1" x14ac:dyDescent="0.35">
      <c r="A11" s="247" t="s">
        <v>3</v>
      </c>
      <c r="B11" s="398" t="e">
        <f>VLOOKUP(B9,Colleges!A3:B29,2, FALSE)</f>
        <v>#N/A</v>
      </c>
      <c r="C11" s="398"/>
      <c r="D11" s="249" t="s">
        <v>4</v>
      </c>
      <c r="E11" s="320"/>
      <c r="F11" s="400"/>
      <c r="G11" s="400"/>
      <c r="H11" s="400"/>
      <c r="I11" s="320"/>
      <c r="J11" s="320"/>
      <c r="K11" s="246"/>
      <c r="L11" s="320"/>
      <c r="M11" s="320"/>
      <c r="N11" s="320"/>
      <c r="O11" s="320"/>
    </row>
    <row r="12" spans="1:15" ht="12" customHeight="1" x14ac:dyDescent="0.35">
      <c r="A12" s="322"/>
      <c r="B12" s="328"/>
      <c r="C12" s="328"/>
      <c r="D12" s="320"/>
      <c r="E12" s="327"/>
      <c r="F12" s="324"/>
      <c r="G12" s="324"/>
      <c r="H12" s="320"/>
      <c r="I12" s="320"/>
      <c r="J12" s="320"/>
      <c r="K12" s="246"/>
      <c r="L12" s="320"/>
      <c r="M12" s="320"/>
      <c r="N12" s="320"/>
      <c r="O12" s="320"/>
    </row>
    <row r="13" spans="1:15" ht="23.15" customHeight="1" x14ac:dyDescent="0.45">
      <c r="A13" s="300" t="s">
        <v>5</v>
      </c>
      <c r="B13" s="301"/>
      <c r="C13" s="302"/>
      <c r="D13" s="396"/>
      <c r="E13" s="396"/>
      <c r="F13" s="404"/>
      <c r="G13" s="404"/>
      <c r="H13" s="303"/>
      <c r="I13" s="320"/>
      <c r="J13" s="320"/>
      <c r="K13" s="246"/>
      <c r="L13" s="320"/>
      <c r="M13" s="320"/>
      <c r="N13" s="320"/>
      <c r="O13" s="320"/>
    </row>
    <row r="14" spans="1:15" ht="24" customHeight="1" x14ac:dyDescent="0.45">
      <c r="A14" s="300" t="s">
        <v>6</v>
      </c>
      <c r="B14" s="302"/>
      <c r="C14" s="302"/>
      <c r="D14" s="396"/>
      <c r="E14" s="396"/>
      <c r="F14" s="404"/>
      <c r="G14" s="404"/>
      <c r="H14" s="303"/>
      <c r="I14" s="320"/>
      <c r="J14" s="320"/>
      <c r="K14" s="246"/>
      <c r="L14" s="320"/>
      <c r="M14" s="320"/>
      <c r="N14" s="320"/>
      <c r="O14" s="320"/>
    </row>
    <row r="15" spans="1:15" ht="25.4" customHeight="1" x14ac:dyDescent="0.45">
      <c r="A15" s="343" t="s">
        <v>274</v>
      </c>
      <c r="B15" s="343"/>
      <c r="C15" s="343"/>
      <c r="D15" s="343"/>
      <c r="E15" s="333" t="s">
        <v>7</v>
      </c>
      <c r="F15" s="303"/>
      <c r="G15" s="304"/>
      <c r="H15" s="304"/>
      <c r="I15" s="320"/>
      <c r="J15" s="320"/>
      <c r="K15" s="246"/>
      <c r="L15" s="329"/>
      <c r="M15" s="320"/>
      <c r="N15" s="320"/>
      <c r="O15" s="320"/>
    </row>
    <row r="16" spans="1:15" ht="16.399999999999999" customHeight="1" thickBot="1" x14ac:dyDescent="0.5">
      <c r="A16" s="334"/>
      <c r="B16" s="302"/>
      <c r="C16" s="302"/>
      <c r="D16" s="302"/>
      <c r="E16" s="302"/>
      <c r="F16" s="335"/>
      <c r="G16" s="304"/>
      <c r="H16" s="304"/>
      <c r="I16" s="320"/>
      <c r="J16" s="320"/>
      <c r="K16" s="246"/>
      <c r="L16" s="329"/>
      <c r="M16" s="320"/>
      <c r="N16" s="320"/>
      <c r="O16" s="320"/>
    </row>
    <row r="17" spans="1:15" ht="28.4" customHeight="1" thickBot="1" x14ac:dyDescent="0.4">
      <c r="A17" s="371" t="s">
        <v>8</v>
      </c>
      <c r="B17" s="372"/>
      <c r="C17" s="374" t="s">
        <v>9</v>
      </c>
      <c r="D17" s="375"/>
      <c r="E17" s="376"/>
      <c r="F17" s="380" t="s">
        <v>10</v>
      </c>
      <c r="G17" s="381"/>
      <c r="H17" s="382"/>
      <c r="I17" s="320"/>
      <c r="J17" s="320"/>
      <c r="K17" s="320"/>
      <c r="L17" s="320"/>
      <c r="M17" s="320"/>
      <c r="N17" s="320"/>
      <c r="O17" s="320"/>
    </row>
    <row r="18" spans="1:15" ht="52.4" customHeight="1" thickTop="1" thickBot="1" x14ac:dyDescent="0.4">
      <c r="A18" s="373"/>
      <c r="B18" s="344"/>
      <c r="C18" s="377"/>
      <c r="D18" s="378"/>
      <c r="E18" s="379"/>
      <c r="F18" s="339" t="s">
        <v>11</v>
      </c>
      <c r="G18" s="340" t="s">
        <v>12</v>
      </c>
      <c r="H18" s="305" t="s">
        <v>13</v>
      </c>
      <c r="I18" s="320"/>
      <c r="J18" s="320"/>
      <c r="K18" s="320"/>
      <c r="L18" s="320"/>
      <c r="M18" s="330"/>
      <c r="N18" s="320"/>
      <c r="O18" s="320"/>
    </row>
    <row r="19" spans="1:15" ht="20.149999999999999" customHeight="1" thickTop="1" thickBot="1" x14ac:dyDescent="0.4">
      <c r="A19" s="373"/>
      <c r="B19" s="344"/>
      <c r="C19" s="383" t="s">
        <v>14</v>
      </c>
      <c r="D19" s="384"/>
      <c r="E19" s="384"/>
      <c r="F19" s="341"/>
      <c r="G19" s="341"/>
      <c r="H19" s="338">
        <f>G19+F19</f>
        <v>0</v>
      </c>
      <c r="I19" s="320"/>
      <c r="J19" s="320"/>
      <c r="K19" s="371" t="s">
        <v>15</v>
      </c>
      <c r="L19" s="401" t="str">
        <f>"There are currently " &amp; IF(G35=0,0,G35) &amp; " Errors"</f>
        <v>There are currently 0 Errors</v>
      </c>
      <c r="M19" s="401"/>
      <c r="N19" s="401"/>
      <c r="O19" s="402"/>
    </row>
    <row r="20" spans="1:15" ht="11.25" customHeight="1" thickTop="1" thickBot="1" x14ac:dyDescent="0.4">
      <c r="A20" s="331"/>
      <c r="B20" s="332"/>
      <c r="C20" s="387"/>
      <c r="D20" s="388"/>
      <c r="E20" s="388"/>
      <c r="F20" s="388"/>
      <c r="G20" s="388"/>
      <c r="H20" s="389"/>
      <c r="I20" s="320"/>
      <c r="J20" s="320"/>
      <c r="K20" s="390"/>
      <c r="L20" s="394"/>
      <c r="M20" s="394"/>
      <c r="N20" s="394"/>
      <c r="O20" s="403"/>
    </row>
    <row r="21" spans="1:15" ht="20.149999999999999" customHeight="1" thickTop="1" thickBot="1" x14ac:dyDescent="0.4">
      <c r="A21" s="392" t="s">
        <v>16</v>
      </c>
      <c r="B21" s="393"/>
      <c r="C21" s="359" t="s">
        <v>17</v>
      </c>
      <c r="D21" s="385" t="s">
        <v>18</v>
      </c>
      <c r="E21" s="386"/>
      <c r="F21" s="285"/>
      <c r="G21" s="286"/>
      <c r="H21" s="306">
        <f>SUM(F21:G21)</f>
        <v>0</v>
      </c>
      <c r="I21" s="320"/>
      <c r="J21" s="320"/>
      <c r="K21" s="391" t="str">
        <f>IF(G35&gt;=1,"Error 1"," ")</f>
        <v xml:space="preserve"> </v>
      </c>
      <c r="L21" s="369" t="str">
        <f>IF(G35=0," ",INDEX(J38:J51,J35,1))</f>
        <v xml:space="preserve"> </v>
      </c>
      <c r="M21" s="369"/>
      <c r="N21" s="369"/>
      <c r="O21" s="370"/>
    </row>
    <row r="22" spans="1:15" ht="20.149999999999999" customHeight="1" thickBot="1" x14ac:dyDescent="0.4">
      <c r="A22" s="392"/>
      <c r="B22" s="393"/>
      <c r="C22" s="360"/>
      <c r="D22" s="355" t="s">
        <v>19</v>
      </c>
      <c r="E22" s="356"/>
      <c r="F22" s="287"/>
      <c r="G22" s="307"/>
      <c r="H22" s="308">
        <f>SUM(F22:G22)</f>
        <v>0</v>
      </c>
      <c r="I22" s="320"/>
      <c r="J22" s="320"/>
      <c r="K22" s="349"/>
      <c r="L22" s="351"/>
      <c r="M22" s="351"/>
      <c r="N22" s="351"/>
      <c r="O22" s="352"/>
    </row>
    <row r="23" spans="1:15" ht="20.149999999999999" customHeight="1" thickTop="1" thickBot="1" x14ac:dyDescent="0.4">
      <c r="A23" s="392"/>
      <c r="B23" s="393"/>
      <c r="C23" s="364"/>
      <c r="D23" s="357" t="s">
        <v>13</v>
      </c>
      <c r="E23" s="358"/>
      <c r="F23" s="253">
        <f>SUM(F21:F22)</f>
        <v>0</v>
      </c>
      <c r="G23" s="253">
        <f>SUM(G21:G22)</f>
        <v>0</v>
      </c>
      <c r="H23" s="309">
        <f>SUM(H21:H22)</f>
        <v>0</v>
      </c>
      <c r="I23" s="320"/>
      <c r="J23" s="320"/>
      <c r="K23" s="349"/>
      <c r="L23" s="351"/>
      <c r="M23" s="351"/>
      <c r="N23" s="351"/>
      <c r="O23" s="352"/>
    </row>
    <row r="24" spans="1:15" ht="20.149999999999999" customHeight="1" thickTop="1" x14ac:dyDescent="0.35">
      <c r="A24" s="392"/>
      <c r="B24" s="393"/>
      <c r="C24" s="359" t="s">
        <v>20</v>
      </c>
      <c r="D24" s="362" t="s">
        <v>18</v>
      </c>
      <c r="E24" s="363"/>
      <c r="F24" s="336"/>
      <c r="G24" s="336"/>
      <c r="H24" s="310">
        <f>SUM(F24:G24)</f>
        <v>0</v>
      </c>
      <c r="I24" s="320"/>
      <c r="J24" s="320"/>
      <c r="K24" s="349" t="str">
        <f>IF(G35&gt;=2,"Error 2"," ")</f>
        <v xml:space="preserve"> </v>
      </c>
      <c r="L24" s="351" t="str">
        <f>IF(G35&lt;2," ",INDEX(J38:J51,J34,1))</f>
        <v xml:space="preserve"> </v>
      </c>
      <c r="M24" s="351"/>
      <c r="N24" s="351"/>
      <c r="O24" s="352"/>
    </row>
    <row r="25" spans="1:15" ht="20.149999999999999" customHeight="1" thickBot="1" x14ac:dyDescent="0.4">
      <c r="A25" s="392"/>
      <c r="B25" s="393"/>
      <c r="C25" s="360"/>
      <c r="D25" s="355" t="s">
        <v>21</v>
      </c>
      <c r="E25" s="356"/>
      <c r="F25" s="337"/>
      <c r="G25" s="337"/>
      <c r="H25" s="311">
        <f>SUM(F25:G25)</f>
        <v>0</v>
      </c>
      <c r="I25" s="320"/>
      <c r="J25" s="320"/>
      <c r="K25" s="349"/>
      <c r="L25" s="351"/>
      <c r="M25" s="351"/>
      <c r="N25" s="351"/>
      <c r="O25" s="352"/>
    </row>
    <row r="26" spans="1:15" ht="20.149999999999999" customHeight="1" thickTop="1" thickBot="1" x14ac:dyDescent="0.4">
      <c r="A26" s="392"/>
      <c r="B26" s="393"/>
      <c r="C26" s="364"/>
      <c r="D26" s="357" t="s">
        <v>13</v>
      </c>
      <c r="E26" s="358"/>
      <c r="F26" s="253">
        <f>SUM(F24:F25)</f>
        <v>0</v>
      </c>
      <c r="G26" s="253">
        <f>SUM(G24:G25)</f>
        <v>0</v>
      </c>
      <c r="H26" s="309">
        <f>SUM(H24:H25)</f>
        <v>0</v>
      </c>
      <c r="I26" s="320"/>
      <c r="J26" s="320"/>
      <c r="K26" s="350"/>
      <c r="L26" s="353"/>
      <c r="M26" s="353"/>
      <c r="N26" s="353"/>
      <c r="O26" s="354"/>
    </row>
    <row r="27" spans="1:15" ht="20.149999999999999" customHeight="1" thickTop="1" x14ac:dyDescent="0.35">
      <c r="A27" s="392"/>
      <c r="B27" s="393"/>
      <c r="C27" s="359" t="s">
        <v>22</v>
      </c>
      <c r="D27" s="362" t="s">
        <v>18</v>
      </c>
      <c r="E27" s="363"/>
      <c r="F27" s="289">
        <f>SUM(F21+F24)</f>
        <v>0</v>
      </c>
      <c r="G27" s="289">
        <f>SUM(G21+G24)</f>
        <v>0</v>
      </c>
      <c r="H27" s="310">
        <f>SUM(F27:G27)</f>
        <v>0</v>
      </c>
      <c r="I27" s="320"/>
      <c r="J27" s="320"/>
      <c r="K27" s="320"/>
      <c r="L27" s="320"/>
      <c r="M27" s="320"/>
      <c r="N27" s="320"/>
      <c r="O27" s="320"/>
    </row>
    <row r="28" spans="1:15" ht="20.149999999999999" customHeight="1" thickBot="1" x14ac:dyDescent="0.4">
      <c r="A28" s="392"/>
      <c r="B28" s="393"/>
      <c r="C28" s="360"/>
      <c r="D28" s="355" t="s">
        <v>21</v>
      </c>
      <c r="E28" s="356"/>
      <c r="F28" s="288">
        <f>SUM(F22+F25)</f>
        <v>0</v>
      </c>
      <c r="G28" s="288">
        <f>SUM(G22+G25)</f>
        <v>0</v>
      </c>
      <c r="H28" s="310">
        <f>SUM(F28:G28)</f>
        <v>0</v>
      </c>
      <c r="I28" s="320"/>
      <c r="J28" s="320"/>
      <c r="K28" s="320"/>
      <c r="L28" s="320"/>
      <c r="M28" s="320"/>
      <c r="N28" s="320"/>
      <c r="O28" s="320"/>
    </row>
    <row r="29" spans="1:15" ht="20.149999999999999" customHeight="1" thickTop="1" thickBot="1" x14ac:dyDescent="0.4">
      <c r="A29" s="390"/>
      <c r="B29" s="394"/>
      <c r="C29" s="361"/>
      <c r="D29" s="365" t="s">
        <v>13</v>
      </c>
      <c r="E29" s="366"/>
      <c r="F29" s="252">
        <f>SUM(F27:F28)</f>
        <v>0</v>
      </c>
      <c r="G29" s="252">
        <f>SUM(G27:G28)</f>
        <v>0</v>
      </c>
      <c r="H29" s="306">
        <f>SUM(H27:H28)</f>
        <v>0</v>
      </c>
      <c r="I29" s="320"/>
      <c r="J29" s="320"/>
      <c r="K29" s="320"/>
      <c r="L29" s="320"/>
      <c r="M29" s="320"/>
      <c r="N29" s="320"/>
      <c r="O29" s="320"/>
    </row>
    <row r="30" spans="1:15" hidden="1" x14ac:dyDescent="0.35">
      <c r="A30" s="254"/>
      <c r="B30" s="254"/>
      <c r="C30" s="255"/>
      <c r="D30" s="250"/>
      <c r="E30" s="256"/>
      <c r="F30" s="257"/>
      <c r="G30" s="257"/>
      <c r="H30" s="257"/>
      <c r="I30" s="257"/>
      <c r="J30" s="257"/>
      <c r="K30" s="257"/>
    </row>
    <row r="31" spans="1:15" hidden="1" x14ac:dyDescent="0.35">
      <c r="A31" s="258"/>
      <c r="B31" s="259"/>
      <c r="C31" s="250"/>
      <c r="D31" s="250"/>
      <c r="E31" s="250"/>
      <c r="F31" s="260"/>
      <c r="G31" s="261"/>
      <c r="H31" s="262"/>
      <c r="I31" s="263"/>
      <c r="J31" s="263"/>
    </row>
    <row r="32" spans="1:15" ht="15.5" hidden="1" x14ac:dyDescent="0.35">
      <c r="A32" s="264"/>
      <c r="B32" s="264"/>
      <c r="C32" s="265"/>
      <c r="D32" s="251"/>
      <c r="E32" s="251"/>
      <c r="F32" s="251"/>
      <c r="G32" s="254"/>
      <c r="I32" s="266"/>
      <c r="K32" s="266"/>
    </row>
    <row r="34" spans="1:21" ht="15.5" hidden="1" x14ac:dyDescent="0.35">
      <c r="A34" s="267"/>
      <c r="B34" s="267"/>
      <c r="C34" s="267"/>
      <c r="D34" s="267"/>
      <c r="E34" s="267"/>
      <c r="F34" s="267"/>
      <c r="G34" s="267">
        <f>G35</f>
        <v>0</v>
      </c>
      <c r="H34" s="267"/>
      <c r="I34" s="267"/>
      <c r="J34" s="267">
        <f>LARGE(H38:H51,2)</f>
        <v>0</v>
      </c>
      <c r="K34" s="267"/>
      <c r="L34" s="267"/>
      <c r="M34" s="267"/>
      <c r="N34" s="267"/>
      <c r="O34" s="267"/>
      <c r="P34" s="267"/>
      <c r="Q34" s="267"/>
      <c r="R34" s="267"/>
      <c r="S34" s="267"/>
    </row>
    <row r="35" spans="1:21" ht="15.5" hidden="1" x14ac:dyDescent="0.35">
      <c r="A35" s="267"/>
      <c r="B35" s="267"/>
      <c r="C35" s="267"/>
      <c r="D35" s="267"/>
      <c r="E35" s="267"/>
      <c r="F35" s="267"/>
      <c r="G35" s="267">
        <f>COUNTIF(G38:G51,1)</f>
        <v>0</v>
      </c>
      <c r="H35" s="267"/>
      <c r="I35" s="267"/>
      <c r="J35" s="267">
        <f>MAX(H38:H51)</f>
        <v>0</v>
      </c>
      <c r="K35" s="267"/>
      <c r="L35" s="267"/>
      <c r="M35" s="267"/>
      <c r="N35" s="267"/>
      <c r="O35" s="267"/>
      <c r="P35" s="267"/>
      <c r="Q35" s="267"/>
      <c r="R35" s="267"/>
      <c r="S35" s="267"/>
    </row>
    <row r="36" spans="1:21" ht="15.5" hidden="1" x14ac:dyDescent="0.3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</row>
    <row r="37" spans="1:21" ht="15.5" hidden="1" x14ac:dyDescent="0.35">
      <c r="A37" s="344" t="s">
        <v>23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</row>
    <row r="38" spans="1:21" s="273" customFormat="1" ht="45.75" hidden="1" customHeight="1" thickBot="1" x14ac:dyDescent="0.35">
      <c r="A38" s="345" t="s">
        <v>24</v>
      </c>
      <c r="B38" s="268" t="s">
        <v>25</v>
      </c>
      <c r="C38" s="269" t="s">
        <v>26</v>
      </c>
      <c r="D38" s="270">
        <f>IF(F19&lt;=Headcount!AB17,0,1)</f>
        <v>0</v>
      </c>
      <c r="E38" s="271" t="str">
        <f>IF(D38=0," ","ERROR: Teaching FTE must not be greater than headcount in Headcount table 1.  Check F19 and Headcount D43 to E44")</f>
        <v xml:space="preserve"> </v>
      </c>
      <c r="F38" s="272"/>
      <c r="G38" s="267" t="str">
        <f>IF(H38=0," ",1)</f>
        <v xml:space="preserve"> </v>
      </c>
      <c r="H38" s="267">
        <f>IF(F19&lt;=Headcount!AB17,0,1)</f>
        <v>0</v>
      </c>
      <c r="I38" s="267">
        <v>1</v>
      </c>
      <c r="J38" s="267" t="s">
        <v>27</v>
      </c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317" t="s">
        <v>28</v>
      </c>
    </row>
    <row r="39" spans="1:21" s="273" customFormat="1" ht="50.25" hidden="1" customHeight="1" thickBot="1" x14ac:dyDescent="0.35">
      <c r="A39" s="346"/>
      <c r="B39" s="268" t="s">
        <v>29</v>
      </c>
      <c r="C39" s="269" t="s">
        <v>26</v>
      </c>
      <c r="D39" s="270">
        <f>IF(G19&lt;=Headcount!AB22,0,1)</f>
        <v>0</v>
      </c>
      <c r="E39" s="271" t="str">
        <f>IF(D39=0," ","ERROR: Non-teaching FTE must not be greater than headcount in Headcount table 1.  Check G19 and Headcount F43 to G44")</f>
        <v xml:space="preserve"> </v>
      </c>
      <c r="F39" s="274"/>
      <c r="G39" s="267" t="str">
        <f t="shared" ref="G39:G47" si="0">IF(H39=0," ",1)</f>
        <v xml:space="preserve"> </v>
      </c>
      <c r="H39" s="267">
        <f>IF(G19&lt;=Headcount!AB22,0,2)</f>
        <v>0</v>
      </c>
      <c r="I39" s="267">
        <v>2</v>
      </c>
      <c r="J39" s="267" t="s">
        <v>30</v>
      </c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317" t="s">
        <v>31</v>
      </c>
    </row>
    <row r="40" spans="1:21" s="273" customFormat="1" ht="50.25" hidden="1" customHeight="1" thickBot="1" x14ac:dyDescent="0.35">
      <c r="A40" s="346"/>
      <c r="B40" s="268" t="s">
        <v>25</v>
      </c>
      <c r="C40" s="269" t="s">
        <v>26</v>
      </c>
      <c r="D40" s="270">
        <f>IF(AND(Headcount!AB17&gt;0,F19=0),1,0)</f>
        <v>0</v>
      </c>
      <c r="E40" s="271" t="str">
        <f>IF(D40=0," ","ERROR: Teaching headcount in Headcount, D43 to E44  but no FTE in F10")</f>
        <v xml:space="preserve"> </v>
      </c>
      <c r="F40" s="274"/>
      <c r="G40" s="267" t="str">
        <f>IF(H40=0," ",1)</f>
        <v xml:space="preserve"> </v>
      </c>
      <c r="H40" s="267">
        <f>IF(AND(Headcount!AB17&gt;0,F19=0),3,0)</f>
        <v>0</v>
      </c>
      <c r="I40" s="267">
        <v>3</v>
      </c>
      <c r="J40" s="267" t="s">
        <v>32</v>
      </c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317" t="s">
        <v>28</v>
      </c>
    </row>
    <row r="41" spans="1:21" s="273" customFormat="1" ht="50.25" hidden="1" customHeight="1" thickBot="1" x14ac:dyDescent="0.35">
      <c r="A41" s="346"/>
      <c r="B41" s="268" t="s">
        <v>29</v>
      </c>
      <c r="C41" s="269" t="s">
        <v>26</v>
      </c>
      <c r="D41" s="270">
        <f>IF(AND(Headcount!AB22&lt;0,G19=0),1,0)</f>
        <v>0</v>
      </c>
      <c r="E41" s="271" t="str">
        <f>IF(D41=0," ","ERROR: Non-teaching headcount in Headcount, F43 to G44  but no FTE in G10")</f>
        <v xml:space="preserve"> </v>
      </c>
      <c r="F41" s="274"/>
      <c r="G41" s="267" t="str">
        <f>IF(H41=0," ",1)</f>
        <v xml:space="preserve"> </v>
      </c>
      <c r="H41" s="267">
        <f>IF(AND(Headcount!AB22&gt;0,G19=0),4,0)</f>
        <v>0</v>
      </c>
      <c r="I41" s="267">
        <v>4</v>
      </c>
      <c r="J41" s="267" t="s">
        <v>33</v>
      </c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317" t="s">
        <v>31</v>
      </c>
    </row>
    <row r="42" spans="1:21" s="273" customFormat="1" ht="64.5" hidden="1" customHeight="1" thickBot="1" x14ac:dyDescent="0.35">
      <c r="A42" s="346"/>
      <c r="B42" s="268" t="s">
        <v>34</v>
      </c>
      <c r="C42" s="269" t="s">
        <v>35</v>
      </c>
      <c r="D42" s="270">
        <f>IF(F21&lt;=Headcount!AB50,0,1)</f>
        <v>0</v>
      </c>
      <c r="E42" s="271" t="str">
        <f>IF(D42=0," ","ERROR: Full-time permanent teaching FTE must not be greater than headcount in Headcount table 2.  Check F12 and Headcount S51 to Y52")</f>
        <v xml:space="preserve"> </v>
      </c>
      <c r="F42" s="274"/>
      <c r="G42" s="267" t="str">
        <f t="shared" si="0"/>
        <v xml:space="preserve"> </v>
      </c>
      <c r="H42" s="267">
        <f>IF(F21&lt;=Headcount!AB49,0,5)</f>
        <v>0</v>
      </c>
      <c r="I42" s="267">
        <v>5</v>
      </c>
      <c r="J42" s="267" t="s">
        <v>36</v>
      </c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317" t="s">
        <v>37</v>
      </c>
    </row>
    <row r="43" spans="1:21" s="273" customFormat="1" ht="58.5" hidden="1" customHeight="1" thickBot="1" x14ac:dyDescent="0.35">
      <c r="A43" s="346"/>
      <c r="B43" s="268" t="s">
        <v>38</v>
      </c>
      <c r="C43" s="269" t="s">
        <v>35</v>
      </c>
      <c r="D43" s="270">
        <f>IF(F22&lt;=Headcount!AB51,0,1)</f>
        <v>0</v>
      </c>
      <c r="E43" s="271" t="str">
        <f>IF(D43=0," ","ERROR: Part-time permanent teaching FTE must not be greater than headcount in Headcount table 2.  Check F13 and Headcount S55 to Y56")</f>
        <v xml:space="preserve"> </v>
      </c>
      <c r="F43" s="274"/>
      <c r="G43" s="267" t="str">
        <f t="shared" si="0"/>
        <v xml:space="preserve"> </v>
      </c>
      <c r="H43" s="267">
        <f>IF(F22&lt;=Headcount!AB51,0,6)</f>
        <v>0</v>
      </c>
      <c r="I43" s="267">
        <v>6</v>
      </c>
      <c r="J43" s="267" t="s">
        <v>39</v>
      </c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317" t="s">
        <v>40</v>
      </c>
    </row>
    <row r="44" spans="1:21" s="273" customFormat="1" ht="47.25" hidden="1" customHeight="1" thickBot="1" x14ac:dyDescent="0.35">
      <c r="A44" s="346"/>
      <c r="B44" s="268" t="s">
        <v>41</v>
      </c>
      <c r="C44" s="269" t="s">
        <v>35</v>
      </c>
      <c r="D44" s="270">
        <f>IF(F24&lt;=Headcount!AB54,0,1)</f>
        <v>0</v>
      </c>
      <c r="E44" s="271" t="str">
        <f>IF(D44=0," ","ERROR: Full-time temporary teaching FTE must not be greater than headcount in Headcount table 2.  Check F15 and Headcount S53 to Y54")</f>
        <v xml:space="preserve"> </v>
      </c>
      <c r="F44" s="274"/>
      <c r="G44" s="267" t="str">
        <f t="shared" si="0"/>
        <v xml:space="preserve"> </v>
      </c>
      <c r="H44" s="267">
        <f>IF(F24&lt;=Headcount!AB52,0,7)</f>
        <v>0</v>
      </c>
      <c r="I44" s="267">
        <v>7</v>
      </c>
      <c r="J44" s="267" t="s">
        <v>42</v>
      </c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317" t="s">
        <v>43</v>
      </c>
    </row>
    <row r="45" spans="1:21" s="273" customFormat="1" ht="62.25" hidden="1" customHeight="1" thickBot="1" x14ac:dyDescent="0.35">
      <c r="A45" s="346"/>
      <c r="B45" s="268" t="s">
        <v>44</v>
      </c>
      <c r="C45" s="269" t="s">
        <v>35</v>
      </c>
      <c r="D45" s="270">
        <f>IF(F25&lt;=Headcount!AB54,0,1)</f>
        <v>0</v>
      </c>
      <c r="E45" s="271" t="str">
        <f>IF(D45=0," ","ERROR: Part-time temporary teaching FTE must not be greater than headcount in Headcount table 2.   Check F16 and Headcount S57 to Y58")</f>
        <v xml:space="preserve"> </v>
      </c>
      <c r="F45" s="274"/>
      <c r="G45" s="267" t="str">
        <f t="shared" si="0"/>
        <v xml:space="preserve"> </v>
      </c>
      <c r="H45" s="267">
        <f>IF(F25&lt;=Headcount!AB54,0,8)</f>
        <v>0</v>
      </c>
      <c r="I45" s="267">
        <v>8</v>
      </c>
      <c r="J45" s="267" t="s">
        <v>45</v>
      </c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317" t="s">
        <v>46</v>
      </c>
    </row>
    <row r="46" spans="1:21" s="273" customFormat="1" ht="60" hidden="1" customHeight="1" thickBot="1" x14ac:dyDescent="0.35">
      <c r="A46" s="346"/>
      <c r="B46" s="268" t="s">
        <v>47</v>
      </c>
      <c r="C46" s="269" t="s">
        <v>35</v>
      </c>
      <c r="D46" s="270">
        <f>IF(G21&lt;=Headcount!AC50,0,1)</f>
        <v>0</v>
      </c>
      <c r="E46" s="271" t="str">
        <f>IF(D46=0," ","ERROR: Full-time permanent non-teaching FTE must not be greater than headcount in Headcount table 2.  Check G12 and Headcount S64 to Y65")</f>
        <v xml:space="preserve"> </v>
      </c>
      <c r="F46" s="274"/>
      <c r="G46" s="267" t="str">
        <f t="shared" si="0"/>
        <v xml:space="preserve"> </v>
      </c>
      <c r="H46" s="267">
        <f>IF(G21&lt;=Headcount!AD49,0,9)</f>
        <v>0</v>
      </c>
      <c r="I46" s="267">
        <v>9</v>
      </c>
      <c r="J46" s="267" t="s">
        <v>48</v>
      </c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317" t="s">
        <v>49</v>
      </c>
    </row>
    <row r="47" spans="1:21" s="273" customFormat="1" ht="63" hidden="1" customHeight="1" thickBot="1" x14ac:dyDescent="0.35">
      <c r="A47" s="346"/>
      <c r="B47" s="268" t="s">
        <v>50</v>
      </c>
      <c r="C47" s="269" t="s">
        <v>35</v>
      </c>
      <c r="D47" s="270">
        <f>IF(G22&lt;=Headcount!AC51,0,1)</f>
        <v>0</v>
      </c>
      <c r="E47" s="271" t="str">
        <f>IF(D47=0," ","ERROR: Part-time permanent non-teaching FTE must not be greater than headcount in Headcount table 2.  Check G13 and Headcount S568to Y69")</f>
        <v xml:space="preserve"> </v>
      </c>
      <c r="F47" s="274"/>
      <c r="G47" s="267" t="str">
        <f t="shared" si="0"/>
        <v xml:space="preserve"> </v>
      </c>
      <c r="H47" s="267">
        <f>IF(G22&lt;=Headcount!AD50,0,10)</f>
        <v>0</v>
      </c>
      <c r="I47" s="267">
        <v>10</v>
      </c>
      <c r="J47" s="267" t="s">
        <v>51</v>
      </c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317" t="s">
        <v>52</v>
      </c>
    </row>
    <row r="48" spans="1:21" s="273" customFormat="1" ht="60" hidden="1" customHeight="1" thickBot="1" x14ac:dyDescent="0.35">
      <c r="A48" s="346"/>
      <c r="B48" s="268" t="s">
        <v>53</v>
      </c>
      <c r="C48" s="269" t="s">
        <v>35</v>
      </c>
      <c r="D48" s="270">
        <f>IF(G24&lt;=Headcount!AC53,0,1)</f>
        <v>0</v>
      </c>
      <c r="E48" s="271" t="str">
        <f>IF(D48=0," ","ERROR: Full-time temporary non-teaching FTE must not be greater than headcount in Headcount table 2.  Check G15 and Headcount S66 to Y67")</f>
        <v xml:space="preserve"> </v>
      </c>
      <c r="F48" s="274"/>
      <c r="G48" s="267" t="str">
        <f>IF(H48=0," ",1)</f>
        <v xml:space="preserve"> </v>
      </c>
      <c r="H48" s="267">
        <f>IF(G24&lt;=Headcount!AD52,0,11)</f>
        <v>0</v>
      </c>
      <c r="I48" s="267">
        <v>11</v>
      </c>
      <c r="J48" s="267" t="s">
        <v>54</v>
      </c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317" t="s">
        <v>55</v>
      </c>
    </row>
    <row r="49" spans="1:21" s="273" customFormat="1" ht="66.75" hidden="1" customHeight="1" thickBot="1" x14ac:dyDescent="0.35">
      <c r="A49" s="347"/>
      <c r="B49" s="275" t="s">
        <v>56</v>
      </c>
      <c r="C49" s="276" t="s">
        <v>35</v>
      </c>
      <c r="D49" s="270">
        <f>IF(G25&lt;=Headcount!AC54,0,1)</f>
        <v>0</v>
      </c>
      <c r="E49" s="270" t="str">
        <f>IF(D49=0," ","ERROR: Part-time Temporary non-teaching FTE must not be greater than headcount in Headcount table 2.  Check G16 and Headcount S70 to Y71")</f>
        <v xml:space="preserve"> </v>
      </c>
      <c r="F49" s="274"/>
      <c r="G49" s="267" t="str">
        <f>IF(H49=0," ",1)</f>
        <v xml:space="preserve"> </v>
      </c>
      <c r="H49" s="267">
        <f>IF(G25&lt;=Headcount!AD54,0,12)</f>
        <v>0</v>
      </c>
      <c r="I49" s="267">
        <v>12</v>
      </c>
      <c r="J49" s="267" t="s">
        <v>57</v>
      </c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317" t="s">
        <v>58</v>
      </c>
    </row>
    <row r="50" spans="1:21" s="273" customFormat="1" ht="16" hidden="1" thickBot="1" x14ac:dyDescent="0.35">
      <c r="A50" s="345" t="s">
        <v>59</v>
      </c>
      <c r="B50" s="268" t="s">
        <v>60</v>
      </c>
      <c r="C50" s="269" t="s">
        <v>61</v>
      </c>
      <c r="D50" s="270">
        <f>IF(AND(F19+0.2&gt;=(F29),(F29)&gt;=F19-0.2),0,1)</f>
        <v>0</v>
      </c>
      <c r="E50" s="271" t="str">
        <f>IF(D50=0," ","ERROR: Teaching FTE total must be the same in table 1 and table 2(within + or - 0.2), see F20 and F10")</f>
        <v xml:space="preserve"> </v>
      </c>
      <c r="F50" s="277"/>
      <c r="G50" s="267" t="str">
        <f>IF(H50=0," ",1)</f>
        <v xml:space="preserve"> </v>
      </c>
      <c r="H50" s="267">
        <f>IF(AND(F19+0.2&gt;=(F29),(F29)&gt;=F19-0.2),0,13)</f>
        <v>0</v>
      </c>
      <c r="I50" s="267">
        <v>13</v>
      </c>
      <c r="J50" s="267" t="s">
        <v>62</v>
      </c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317"/>
    </row>
    <row r="51" spans="1:21" s="273" customFormat="1" ht="32.25" hidden="1" customHeight="1" thickBot="1" x14ac:dyDescent="0.35">
      <c r="A51" s="348"/>
      <c r="B51" s="278" t="s">
        <v>63</v>
      </c>
      <c r="C51" s="279" t="s">
        <v>61</v>
      </c>
      <c r="D51" s="280">
        <f>IF(AND(G19+0.2&gt;=(G29),(G29)&gt;=G19-0.2),0,1)</f>
        <v>0</v>
      </c>
      <c r="E51" s="281" t="str">
        <f>IF(D51=0," ","Non-teaching FTE total must be the same in table 1 and table 2(within + or - 0.2), see G20 and G10")</f>
        <v xml:space="preserve"> </v>
      </c>
      <c r="F51" s="282"/>
      <c r="G51" s="267" t="str">
        <f>IF(H51=0," ",1)</f>
        <v xml:space="preserve"> </v>
      </c>
      <c r="H51" s="267">
        <f>IF(AND(G19+0.2&gt;=(G29),(G29)&gt;=G19-0.2),0,14)</f>
        <v>0</v>
      </c>
      <c r="I51" s="267">
        <v>14</v>
      </c>
      <c r="J51" s="267" t="s">
        <v>64</v>
      </c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317"/>
    </row>
    <row r="52" spans="1:21" hidden="1" x14ac:dyDescent="0.35">
      <c r="A52" s="273"/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</row>
    <row r="57" spans="1:21" ht="21" hidden="1" x14ac:dyDescent="0.35">
      <c r="B57" s="283"/>
      <c r="D57" s="367"/>
      <c r="E57" s="367"/>
      <c r="F57" s="367"/>
      <c r="G57" s="367"/>
      <c r="H57" s="367"/>
      <c r="I57" s="367"/>
    </row>
    <row r="58" spans="1:21" ht="18.5" hidden="1" x14ac:dyDescent="0.35">
      <c r="B58" s="2"/>
      <c r="D58" s="367"/>
      <c r="E58" s="367"/>
      <c r="F58" s="368"/>
      <c r="G58" s="368"/>
      <c r="H58" s="368"/>
      <c r="I58" s="368"/>
    </row>
    <row r="59" spans="1:21" ht="18.5" hidden="1" x14ac:dyDescent="0.35">
      <c r="B59" s="2"/>
      <c r="D59" s="367"/>
      <c r="E59" s="367"/>
      <c r="F59" s="368"/>
      <c r="G59" s="368"/>
      <c r="H59" s="368"/>
      <c r="I59" s="368"/>
    </row>
    <row r="60" spans="1:21" hidden="1" x14ac:dyDescent="0.35">
      <c r="B60" s="284"/>
      <c r="D60" s="367"/>
      <c r="E60" s="367"/>
      <c r="F60" s="368"/>
      <c r="G60" s="368"/>
      <c r="H60" s="368"/>
      <c r="I60" s="368"/>
    </row>
  </sheetData>
  <mergeCells count="45">
    <mergeCell ref="L19:O20"/>
    <mergeCell ref="F13:G13"/>
    <mergeCell ref="F14:G14"/>
    <mergeCell ref="K19:K20"/>
    <mergeCell ref="K21:K23"/>
    <mergeCell ref="A21:B29"/>
    <mergeCell ref="C21:C23"/>
    <mergeCell ref="D7:E7"/>
    <mergeCell ref="D13:E13"/>
    <mergeCell ref="D14:E14"/>
    <mergeCell ref="B9:C9"/>
    <mergeCell ref="B11:C11"/>
    <mergeCell ref="F9:H9"/>
    <mergeCell ref="F11:H11"/>
    <mergeCell ref="D23:E23"/>
    <mergeCell ref="A17:B19"/>
    <mergeCell ref="C17:E18"/>
    <mergeCell ref="F17:H17"/>
    <mergeCell ref="C19:E19"/>
    <mergeCell ref="D21:E21"/>
    <mergeCell ref="C20:H20"/>
    <mergeCell ref="D60:E60"/>
    <mergeCell ref="F57:I57"/>
    <mergeCell ref="F58:I58"/>
    <mergeCell ref="F59:I59"/>
    <mergeCell ref="F60:I60"/>
    <mergeCell ref="D57:E57"/>
    <mergeCell ref="D58:E58"/>
    <mergeCell ref="D59:E59"/>
    <mergeCell ref="A15:D15"/>
    <mergeCell ref="A37:S37"/>
    <mergeCell ref="A38:A49"/>
    <mergeCell ref="A50:A51"/>
    <mergeCell ref="K24:K26"/>
    <mergeCell ref="L24:O26"/>
    <mergeCell ref="D25:E25"/>
    <mergeCell ref="D26:E26"/>
    <mergeCell ref="C27:C29"/>
    <mergeCell ref="D27:E27"/>
    <mergeCell ref="D28:E28"/>
    <mergeCell ref="C24:C26"/>
    <mergeCell ref="D24:E24"/>
    <mergeCell ref="D29:E29"/>
    <mergeCell ref="L21:O23"/>
    <mergeCell ref="D22:E22"/>
  </mergeCells>
  <conditionalFormatting sqref="F21">
    <cfRule type="expression" dxfId="85" priority="5">
      <formula>$H$42&gt;0</formula>
    </cfRule>
  </conditionalFormatting>
  <conditionalFormatting sqref="F22">
    <cfRule type="expression" dxfId="84" priority="6">
      <formula>$H$43&gt;0</formula>
    </cfRule>
  </conditionalFormatting>
  <conditionalFormatting sqref="F19:G19">
    <cfRule type="expression" dxfId="83" priority="1">
      <formula>$H$42&gt;0</formula>
    </cfRule>
  </conditionalFormatting>
  <conditionalFormatting sqref="F24:G25">
    <cfRule type="expression" dxfId="82" priority="2">
      <formula>$H$42&gt;0</formula>
    </cfRule>
  </conditionalFormatting>
  <conditionalFormatting sqref="F27:G28">
    <cfRule type="expression" dxfId="81" priority="28">
      <formula>$H$50&gt;0</formula>
    </cfRule>
  </conditionalFormatting>
  <conditionalFormatting sqref="F29:H29">
    <cfRule type="expression" dxfId="80" priority="36">
      <formula>$H$50&gt;0</formula>
    </cfRule>
  </conditionalFormatting>
  <conditionalFormatting sqref="G21">
    <cfRule type="expression" dxfId="79" priority="4">
      <formula>$H$46&gt;0</formula>
    </cfRule>
  </conditionalFormatting>
  <conditionalFormatting sqref="G22">
    <cfRule type="expression" dxfId="78" priority="3">
      <formula>$H$47&gt;0</formula>
    </cfRule>
  </conditionalFormatting>
  <hyperlinks>
    <hyperlink ref="E15" r:id="rId1" xr:uid="{A4398714-E6E1-4677-B0A2-2396ADE53CAA}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  <ignoredErrors>
    <ignoredError sqref="H23 H26" formula="1"/>
    <ignoredError sqref="F27 G27:G28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F45FC0-28C5-416F-A04D-CCFAE1BF8038}">
          <x14:formula1>
            <xm:f>Colleges!$A$2:$A$29</xm:f>
          </x14:formula1>
          <xm:sqref>B9:C10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4"/>
  <sheetViews>
    <sheetView zoomScale="80" zoomScaleNormal="80" workbookViewId="0">
      <selection activeCell="C133" sqref="C133:F141"/>
    </sheetView>
  </sheetViews>
  <sheetFormatPr defaultColWidth="9.1796875" defaultRowHeight="0" customHeight="1" zeroHeight="1" thickBottom="1" x14ac:dyDescent="0.4"/>
  <cols>
    <col min="1" max="1" width="30.453125" style="149" customWidth="1"/>
    <col min="2" max="2" width="34.453125" style="4" customWidth="1"/>
    <col min="3" max="3" width="30.90625" style="4" customWidth="1"/>
    <col min="4" max="4" width="19.453125" style="4" customWidth="1"/>
    <col min="5" max="5" width="18.54296875" style="4" customWidth="1"/>
    <col min="6" max="25" width="15.54296875" style="4" customWidth="1"/>
    <col min="26" max="26" width="9.1796875" style="5" customWidth="1"/>
    <col min="27" max="27" width="45.453125" style="4" customWidth="1"/>
    <col min="28" max="28" width="12.1796875" style="4" customWidth="1"/>
    <col min="29" max="29" width="36.54296875" style="4" customWidth="1"/>
    <col min="30" max="30" width="9.1796875" style="4" customWidth="1"/>
    <col min="31" max="31" width="5.54296875" style="4" customWidth="1"/>
    <col min="32" max="32" width="11.453125" style="4" customWidth="1"/>
    <col min="33" max="33" width="26.453125" style="4" customWidth="1"/>
    <col min="34" max="16384" width="9.1796875" style="4"/>
  </cols>
  <sheetData>
    <row r="1" spans="1:33" ht="21" customHeight="1" x14ac:dyDescent="0.35">
      <c r="A1" s="4"/>
    </row>
    <row r="2" spans="1:33" ht="21" customHeight="1" x14ac:dyDescent="0.35">
      <c r="A2" s="4"/>
    </row>
    <row r="3" spans="1:33" ht="21" customHeight="1" x14ac:dyDescent="0.35">
      <c r="A3" s="4"/>
    </row>
    <row r="4" spans="1:33" ht="21" customHeight="1" x14ac:dyDescent="0.35">
      <c r="A4" s="4"/>
    </row>
    <row r="5" spans="1:33" ht="20.149999999999999" customHeight="1" x14ac:dyDescent="0.35">
      <c r="A5" s="6" t="s">
        <v>275</v>
      </c>
      <c r="B5" s="7"/>
      <c r="C5" s="7"/>
      <c r="AA5" s="459"/>
      <c r="AB5" s="459"/>
      <c r="AC5" s="459"/>
    </row>
    <row r="6" spans="1:33" ht="13.4" customHeight="1" x14ac:dyDescent="0.35">
      <c r="A6" s="4"/>
      <c r="AA6" s="459"/>
      <c r="AB6" s="459"/>
      <c r="AC6" s="459"/>
    </row>
    <row r="7" spans="1:33" ht="23.15" customHeight="1" x14ac:dyDescent="0.35">
      <c r="A7" s="8" t="s">
        <v>0</v>
      </c>
      <c r="B7" s="198" t="s">
        <v>255</v>
      </c>
      <c r="C7" s="3"/>
      <c r="D7" s="3" t="s">
        <v>2</v>
      </c>
      <c r="E7" s="193"/>
      <c r="F7" s="193"/>
      <c r="G7" s="193"/>
      <c r="P7" s="9"/>
      <c r="AA7" s="459"/>
      <c r="AB7" s="459"/>
      <c r="AC7" s="459"/>
    </row>
    <row r="8" spans="1:33" ht="11.5" customHeight="1" x14ac:dyDescent="0.35">
      <c r="A8" s="3"/>
      <c r="B8" s="3"/>
      <c r="C8" s="3"/>
      <c r="D8" s="3"/>
      <c r="F8" s="3"/>
      <c r="AA8" s="459"/>
      <c r="AB8" s="459"/>
      <c r="AC8" s="459"/>
    </row>
    <row r="9" spans="1:33" ht="23.15" customHeight="1" x14ac:dyDescent="0.35">
      <c r="A9" s="8" t="s">
        <v>3</v>
      </c>
      <c r="B9" s="229" t="e">
        <f>VLOOKUP(B7,Colleges!A3:B29,2, FALSE)</f>
        <v>#N/A</v>
      </c>
      <c r="C9" s="3"/>
      <c r="D9" s="3" t="s">
        <v>4</v>
      </c>
      <c r="E9" s="193"/>
      <c r="F9" s="193"/>
      <c r="G9" s="193"/>
      <c r="I9" s="10"/>
      <c r="K9" s="11"/>
      <c r="S9" s="12"/>
      <c r="T9" s="12"/>
      <c r="AA9" s="459"/>
      <c r="AB9" s="459"/>
      <c r="AC9" s="459"/>
    </row>
    <row r="10" spans="1:33" ht="13.4" customHeight="1" x14ac:dyDescent="0.35">
      <c r="A10" s="3"/>
      <c r="B10" s="3"/>
      <c r="C10" s="3"/>
      <c r="D10" s="3"/>
      <c r="E10" s="3"/>
      <c r="F10" s="3"/>
      <c r="AA10" s="459"/>
      <c r="AB10" s="459"/>
      <c r="AC10" s="459"/>
    </row>
    <row r="11" spans="1:33" ht="23.15" customHeight="1" x14ac:dyDescent="0.35">
      <c r="A11" s="342" t="s">
        <v>273</v>
      </c>
      <c r="B11" s="247"/>
      <c r="C11" s="342"/>
      <c r="D11" s="243"/>
      <c r="E11" s="243"/>
      <c r="AA11" s="13"/>
      <c r="AF11" s="14"/>
      <c r="AG11" s="15"/>
    </row>
    <row r="12" spans="1:33" ht="23.15" customHeight="1" x14ac:dyDescent="0.35">
      <c r="A12" s="242" t="s">
        <v>6</v>
      </c>
      <c r="B12" s="242"/>
      <c r="C12" s="242"/>
      <c r="D12" s="243"/>
      <c r="E12" s="243"/>
      <c r="AA12" s="13"/>
      <c r="AF12" s="14"/>
      <c r="AG12" s="15"/>
    </row>
    <row r="13" spans="1:33" ht="23.15" customHeight="1" x14ac:dyDescent="0.35">
      <c r="A13" s="242" t="s">
        <v>274</v>
      </c>
      <c r="B13" s="242"/>
      <c r="C13" s="242"/>
      <c r="D13" s="313" t="s">
        <v>7</v>
      </c>
      <c r="E13" s="243"/>
      <c r="AA13" s="13"/>
      <c r="AF13" s="14"/>
      <c r="AG13" s="15"/>
    </row>
    <row r="14" spans="1:33" ht="15" customHeight="1" x14ac:dyDescent="0.35">
      <c r="A14" s="10"/>
      <c r="B14" s="10"/>
      <c r="C14" s="10"/>
      <c r="D14" s="16"/>
      <c r="AA14" s="13"/>
      <c r="AF14" s="14"/>
      <c r="AG14" s="15"/>
    </row>
    <row r="15" spans="1:33" ht="12" customHeight="1" thickBot="1" x14ac:dyDescent="0.4">
      <c r="A15" s="319"/>
      <c r="B15" s="214"/>
      <c r="C15" s="214"/>
      <c r="D15" s="215"/>
      <c r="E15" s="215"/>
      <c r="F15" s="215"/>
      <c r="G15" s="215"/>
      <c r="H15" s="215"/>
      <c r="AA15" s="13"/>
      <c r="AF15" s="14"/>
      <c r="AG15" s="15"/>
    </row>
    <row r="16" spans="1:33" ht="26.5" customHeight="1" thickTop="1" thickBot="1" x14ac:dyDescent="0.4">
      <c r="A16" s="413" t="s">
        <v>65</v>
      </c>
      <c r="B16" s="418" t="s">
        <v>66</v>
      </c>
      <c r="C16" s="418" t="s">
        <v>67</v>
      </c>
      <c r="D16" s="463" t="s">
        <v>68</v>
      </c>
      <c r="E16" s="464"/>
      <c r="F16" s="464"/>
      <c r="G16" s="464"/>
      <c r="H16" s="465"/>
      <c r="I16" s="213"/>
      <c r="J16" s="17" t="s">
        <v>15</v>
      </c>
      <c r="K16" s="493" t="str">
        <f>"There are currently "&amp;IF(G146=0,0,G146) &amp; " Errors"</f>
        <v>There are currently 0 Errors</v>
      </c>
      <c r="L16" s="493"/>
      <c r="M16" s="493"/>
      <c r="N16" s="494"/>
      <c r="AA16" s="483" t="s">
        <v>69</v>
      </c>
      <c r="AB16" s="484"/>
      <c r="AF16" s="14" t="s">
        <v>70</v>
      </c>
      <c r="AG16" s="15">
        <v>5960150</v>
      </c>
    </row>
    <row r="17" spans="1:33" ht="12" customHeight="1" x14ac:dyDescent="0.35">
      <c r="A17" s="414"/>
      <c r="B17" s="419"/>
      <c r="C17" s="419"/>
      <c r="D17" s="466"/>
      <c r="E17" s="467"/>
      <c r="F17" s="467"/>
      <c r="G17" s="467"/>
      <c r="H17" s="468"/>
      <c r="I17" s="212"/>
      <c r="J17" s="495" t="str">
        <f>IF(G146&gt;=1,"Error 1"," ")</f>
        <v xml:space="preserve"> </v>
      </c>
      <c r="K17" s="502" t="str">
        <f>IF(G146=0," ",INDEX(J149:J189,K146,1))</f>
        <v xml:space="preserve"> </v>
      </c>
      <c r="L17" s="502"/>
      <c r="M17" s="502"/>
      <c r="N17" s="503"/>
      <c r="AA17" s="18" t="s">
        <v>11</v>
      </c>
      <c r="AB17" s="18">
        <f>D43+E43+D44+E44</f>
        <v>0</v>
      </c>
      <c r="AF17" s="14" t="s">
        <v>71</v>
      </c>
      <c r="AG17" s="15">
        <v>5660459</v>
      </c>
    </row>
    <row r="18" spans="1:33" ht="12" customHeight="1" thickBot="1" x14ac:dyDescent="0.4">
      <c r="A18" s="414"/>
      <c r="B18" s="419"/>
      <c r="C18" s="419"/>
      <c r="D18" s="469"/>
      <c r="E18" s="470"/>
      <c r="F18" s="470"/>
      <c r="G18" s="470"/>
      <c r="H18" s="471"/>
      <c r="I18" s="212"/>
      <c r="J18" s="477"/>
      <c r="K18" s="504"/>
      <c r="L18" s="504"/>
      <c r="M18" s="504"/>
      <c r="N18" s="505"/>
      <c r="AA18" s="19" t="s">
        <v>72</v>
      </c>
      <c r="AB18" s="19">
        <f>D43+D44</f>
        <v>0</v>
      </c>
      <c r="AF18" s="14" t="s">
        <v>73</v>
      </c>
      <c r="AG18" s="15">
        <v>8460256</v>
      </c>
    </row>
    <row r="19" spans="1:33" ht="15" customHeight="1" thickBot="1" x14ac:dyDescent="0.4">
      <c r="A19" s="414"/>
      <c r="B19" s="419"/>
      <c r="C19" s="419"/>
      <c r="D19" s="485" t="s">
        <v>11</v>
      </c>
      <c r="E19" s="486"/>
      <c r="F19" s="487" t="s">
        <v>74</v>
      </c>
      <c r="G19" s="487" t="s">
        <v>75</v>
      </c>
      <c r="H19" s="490" t="s">
        <v>13</v>
      </c>
      <c r="I19" s="212"/>
      <c r="J19" s="477" t="str">
        <f>IF(G146&gt;=2,"Error 2"," ")</f>
        <v xml:space="preserve"> </v>
      </c>
      <c r="K19" s="479" t="str">
        <f>IF(G146&lt;2," ",INDEX(J149:J189,K145,1))</f>
        <v xml:space="preserve"> </v>
      </c>
      <c r="L19" s="479"/>
      <c r="M19" s="479"/>
      <c r="N19" s="480"/>
      <c r="AA19" s="19" t="s">
        <v>76</v>
      </c>
      <c r="AB19" s="19">
        <f>E43+E44</f>
        <v>0</v>
      </c>
      <c r="AF19" s="14" t="s">
        <v>77</v>
      </c>
      <c r="AG19" s="15">
        <v>5460352</v>
      </c>
    </row>
    <row r="20" spans="1:33" ht="12" customHeight="1" x14ac:dyDescent="0.35">
      <c r="A20" s="414"/>
      <c r="B20" s="419"/>
      <c r="C20" s="419"/>
      <c r="D20" s="496" t="s">
        <v>17</v>
      </c>
      <c r="E20" s="499" t="s">
        <v>20</v>
      </c>
      <c r="F20" s="488"/>
      <c r="G20" s="488"/>
      <c r="H20" s="491"/>
      <c r="I20" s="212"/>
      <c r="J20" s="477"/>
      <c r="K20" s="479"/>
      <c r="L20" s="479"/>
      <c r="M20" s="479"/>
      <c r="N20" s="480"/>
      <c r="AA20" s="19" t="s">
        <v>78</v>
      </c>
      <c r="AB20" s="19">
        <f>D43+E43</f>
        <v>0</v>
      </c>
      <c r="AF20" s="14" t="s">
        <v>79</v>
      </c>
      <c r="AG20" s="15">
        <v>8460500</v>
      </c>
    </row>
    <row r="21" spans="1:33" ht="12" customHeight="1" x14ac:dyDescent="0.35">
      <c r="A21" s="414"/>
      <c r="B21" s="419"/>
      <c r="C21" s="419"/>
      <c r="D21" s="497"/>
      <c r="E21" s="500"/>
      <c r="F21" s="488"/>
      <c r="G21" s="488"/>
      <c r="H21" s="491"/>
      <c r="I21" s="212"/>
      <c r="J21" s="477"/>
      <c r="K21" s="479"/>
      <c r="L21" s="479"/>
      <c r="M21" s="479"/>
      <c r="N21" s="480"/>
      <c r="AA21" s="19" t="s">
        <v>80</v>
      </c>
      <c r="AB21" s="19">
        <f>D44+E44</f>
        <v>0</v>
      </c>
      <c r="AF21" s="14" t="s">
        <v>81</v>
      </c>
      <c r="AG21" s="15">
        <v>8360057</v>
      </c>
    </row>
    <row r="22" spans="1:33" ht="27" customHeight="1" thickBot="1" x14ac:dyDescent="0.4">
      <c r="A22" s="414"/>
      <c r="B22" s="420"/>
      <c r="C22" s="449"/>
      <c r="D22" s="498"/>
      <c r="E22" s="501"/>
      <c r="F22" s="489"/>
      <c r="G22" s="489"/>
      <c r="H22" s="492"/>
      <c r="I22" s="212"/>
      <c r="J22" s="478"/>
      <c r="K22" s="481"/>
      <c r="L22" s="481"/>
      <c r="M22" s="481"/>
      <c r="N22" s="482"/>
      <c r="AA22" s="21" t="s">
        <v>82</v>
      </c>
      <c r="AB22" s="21">
        <f>F43+G43+F44+G44</f>
        <v>0</v>
      </c>
      <c r="AF22" s="14" t="s">
        <v>83</v>
      </c>
      <c r="AG22" s="15">
        <v>8560056</v>
      </c>
    </row>
    <row r="23" spans="1:33" ht="15" customHeight="1" thickTop="1" x14ac:dyDescent="0.35">
      <c r="A23" s="414"/>
      <c r="B23" s="408" t="s">
        <v>84</v>
      </c>
      <c r="C23" s="200" t="s">
        <v>85</v>
      </c>
      <c r="D23" s="199"/>
      <c r="E23" s="195"/>
      <c r="F23" s="195"/>
      <c r="G23" s="224"/>
      <c r="H23" s="217">
        <f>D23+E23+F23+G23</f>
        <v>0</v>
      </c>
      <c r="I23" s="212"/>
      <c r="AA23" s="21"/>
      <c r="AB23" s="21"/>
      <c r="AF23" s="14"/>
      <c r="AG23" s="15"/>
    </row>
    <row r="24" spans="1:33" ht="15" customHeight="1" thickBot="1" x14ac:dyDescent="0.4">
      <c r="A24" s="414"/>
      <c r="B24" s="409"/>
      <c r="C24" s="201" t="s">
        <v>86</v>
      </c>
      <c r="D24" s="204"/>
      <c r="E24" s="205"/>
      <c r="F24" s="205"/>
      <c r="G24" s="225"/>
      <c r="H24" s="209">
        <f t="shared" ref="H24:H34" si="0">D24+E24+F24+G24</f>
        <v>0</v>
      </c>
      <c r="I24" s="212"/>
      <c r="AA24" s="21"/>
      <c r="AB24" s="21"/>
      <c r="AF24" s="14"/>
      <c r="AG24" s="15"/>
    </row>
    <row r="25" spans="1:33" ht="15" customHeight="1" x14ac:dyDescent="0.35">
      <c r="A25" s="414"/>
      <c r="B25" s="408" t="s">
        <v>87</v>
      </c>
      <c r="C25" s="200" t="s">
        <v>85</v>
      </c>
      <c r="D25" s="199"/>
      <c r="E25" s="195"/>
      <c r="F25" s="195"/>
      <c r="G25" s="226"/>
      <c r="H25" s="196">
        <f t="shared" si="0"/>
        <v>0</v>
      </c>
      <c r="I25" s="212"/>
      <c r="AA25" s="21"/>
      <c r="AB25" s="21"/>
      <c r="AF25" s="14"/>
      <c r="AG25" s="15"/>
    </row>
    <row r="26" spans="1:33" ht="15" customHeight="1" thickBot="1" x14ac:dyDescent="0.4">
      <c r="A26" s="414"/>
      <c r="B26" s="409"/>
      <c r="C26" s="202" t="s">
        <v>86</v>
      </c>
      <c r="D26" s="204"/>
      <c r="E26" s="205"/>
      <c r="F26" s="205"/>
      <c r="G26" s="225"/>
      <c r="H26" s="218">
        <f t="shared" si="0"/>
        <v>0</v>
      </c>
      <c r="I26" s="212"/>
      <c r="AA26" s="21"/>
      <c r="AB26" s="21"/>
      <c r="AF26" s="14"/>
      <c r="AG26" s="15"/>
    </row>
    <row r="27" spans="1:33" ht="15" customHeight="1" x14ac:dyDescent="0.35">
      <c r="A27" s="414"/>
      <c r="B27" s="408" t="s">
        <v>88</v>
      </c>
      <c r="C27" s="203" t="s">
        <v>85</v>
      </c>
      <c r="D27" s="199"/>
      <c r="E27" s="195"/>
      <c r="F27" s="195"/>
      <c r="G27" s="226"/>
      <c r="H27" s="196">
        <f t="shared" si="0"/>
        <v>0</v>
      </c>
      <c r="I27" s="212"/>
      <c r="AA27" s="21"/>
      <c r="AB27" s="21"/>
      <c r="AF27" s="14"/>
      <c r="AG27" s="15"/>
    </row>
    <row r="28" spans="1:33" ht="15" customHeight="1" thickBot="1" x14ac:dyDescent="0.4">
      <c r="A28" s="414"/>
      <c r="B28" s="409"/>
      <c r="C28" s="201" t="s">
        <v>86</v>
      </c>
      <c r="D28" s="204"/>
      <c r="E28" s="205"/>
      <c r="F28" s="205"/>
      <c r="G28" s="225"/>
      <c r="H28" s="218">
        <f t="shared" si="0"/>
        <v>0</v>
      </c>
      <c r="I28" s="212"/>
      <c r="AA28" s="21"/>
      <c r="AB28" s="21"/>
      <c r="AF28" s="14"/>
      <c r="AG28" s="15"/>
    </row>
    <row r="29" spans="1:33" ht="15" customHeight="1" x14ac:dyDescent="0.35">
      <c r="A29" s="414"/>
      <c r="B29" s="408" t="s">
        <v>89</v>
      </c>
      <c r="C29" s="200" t="s">
        <v>85</v>
      </c>
      <c r="D29" s="199"/>
      <c r="E29" s="195"/>
      <c r="F29" s="195"/>
      <c r="G29" s="226"/>
      <c r="H29" s="196">
        <f t="shared" si="0"/>
        <v>0</v>
      </c>
      <c r="I29" s="212"/>
      <c r="AA29" s="21"/>
      <c r="AB29" s="21"/>
      <c r="AF29" s="14"/>
      <c r="AG29" s="15"/>
    </row>
    <row r="30" spans="1:33" ht="15" customHeight="1" thickBot="1" x14ac:dyDescent="0.4">
      <c r="A30" s="414"/>
      <c r="B30" s="409"/>
      <c r="C30" s="202" t="s">
        <v>86</v>
      </c>
      <c r="D30" s="204"/>
      <c r="E30" s="205"/>
      <c r="F30" s="205"/>
      <c r="G30" s="225"/>
      <c r="H30" s="218">
        <f t="shared" si="0"/>
        <v>0</v>
      </c>
      <c r="I30" s="212"/>
      <c r="AA30" s="21"/>
      <c r="AB30" s="21"/>
      <c r="AF30" s="14"/>
      <c r="AG30" s="15"/>
    </row>
    <row r="31" spans="1:33" ht="15" customHeight="1" x14ac:dyDescent="0.35">
      <c r="A31" s="414"/>
      <c r="B31" s="408" t="s">
        <v>90</v>
      </c>
      <c r="C31" s="200" t="s">
        <v>85</v>
      </c>
      <c r="D31" s="199"/>
      <c r="E31" s="195"/>
      <c r="F31" s="195"/>
      <c r="G31" s="226"/>
      <c r="H31" s="196">
        <f t="shared" si="0"/>
        <v>0</v>
      </c>
      <c r="I31" s="212"/>
      <c r="AA31" s="21"/>
      <c r="AB31" s="21"/>
      <c r="AF31" s="14"/>
      <c r="AG31" s="15"/>
    </row>
    <row r="32" spans="1:33" ht="15" customHeight="1" thickBot="1" x14ac:dyDescent="0.4">
      <c r="A32" s="414"/>
      <c r="B32" s="409"/>
      <c r="C32" s="202" t="s">
        <v>86</v>
      </c>
      <c r="D32" s="204"/>
      <c r="E32" s="205"/>
      <c r="F32" s="205"/>
      <c r="G32" s="225"/>
      <c r="H32" s="218">
        <f t="shared" si="0"/>
        <v>0</v>
      </c>
      <c r="I32" s="212"/>
      <c r="AA32" s="21"/>
      <c r="AB32" s="21"/>
      <c r="AF32" s="14"/>
      <c r="AG32" s="15"/>
    </row>
    <row r="33" spans="1:33" ht="15" customHeight="1" thickTop="1" x14ac:dyDescent="0.35">
      <c r="A33" s="414"/>
      <c r="B33" s="408" t="s">
        <v>91</v>
      </c>
      <c r="C33" s="200" t="s">
        <v>85</v>
      </c>
      <c r="D33" s="199"/>
      <c r="E33" s="195"/>
      <c r="F33" s="195"/>
      <c r="G33" s="226"/>
      <c r="H33" s="217">
        <f t="shared" si="0"/>
        <v>0</v>
      </c>
      <c r="I33" s="212"/>
      <c r="AA33" s="21"/>
      <c r="AB33" s="21"/>
      <c r="AF33" s="14"/>
      <c r="AG33" s="15"/>
    </row>
    <row r="34" spans="1:33" ht="15" customHeight="1" thickBot="1" x14ac:dyDescent="0.4">
      <c r="A34" s="414"/>
      <c r="B34" s="409"/>
      <c r="C34" s="202" t="s">
        <v>86</v>
      </c>
      <c r="D34" s="204"/>
      <c r="E34" s="205"/>
      <c r="F34" s="205"/>
      <c r="G34" s="225"/>
      <c r="H34" s="209">
        <f t="shared" si="0"/>
        <v>0</v>
      </c>
      <c r="I34" s="212"/>
      <c r="AA34" s="21"/>
      <c r="AB34" s="21"/>
      <c r="AF34" s="14"/>
      <c r="AG34" s="15"/>
    </row>
    <row r="35" spans="1:33" ht="15" customHeight="1" x14ac:dyDescent="0.35">
      <c r="A35" s="414"/>
      <c r="B35" s="408" t="s">
        <v>92</v>
      </c>
      <c r="C35" s="203" t="s">
        <v>85</v>
      </c>
      <c r="D35" s="199"/>
      <c r="E35" s="195"/>
      <c r="F35" s="195"/>
      <c r="G35" s="226"/>
      <c r="H35" s="196">
        <f>D35+E35+F35+G35</f>
        <v>0</v>
      </c>
      <c r="I35" s="212"/>
      <c r="AA35" s="19" t="s">
        <v>93</v>
      </c>
      <c r="AB35" s="19">
        <f>F43+G43</f>
        <v>0</v>
      </c>
      <c r="AF35" s="14" t="s">
        <v>94</v>
      </c>
      <c r="AG35" s="15">
        <v>8360154</v>
      </c>
    </row>
    <row r="36" spans="1:33" ht="15" customHeight="1" thickBot="1" x14ac:dyDescent="0.4">
      <c r="A36" s="414"/>
      <c r="B36" s="409"/>
      <c r="C36" s="201" t="s">
        <v>86</v>
      </c>
      <c r="D36" s="204"/>
      <c r="E36" s="205"/>
      <c r="F36" s="205"/>
      <c r="G36" s="225"/>
      <c r="H36" s="219">
        <f t="shared" ref="H36:H44" si="1">D36+E36+F36+G36</f>
        <v>0</v>
      </c>
      <c r="I36" s="212"/>
      <c r="AA36" s="22" t="s">
        <v>95</v>
      </c>
      <c r="AB36" s="22">
        <f>F44+G44</f>
        <v>0</v>
      </c>
      <c r="AF36" s="14" t="s">
        <v>96</v>
      </c>
      <c r="AG36" s="15">
        <v>5960258</v>
      </c>
    </row>
    <row r="37" spans="1:33" ht="15" customHeight="1" thickTop="1" x14ac:dyDescent="0.35">
      <c r="A37" s="414"/>
      <c r="B37" s="408" t="s">
        <v>97</v>
      </c>
      <c r="C37" s="200" t="s">
        <v>85</v>
      </c>
      <c r="D37" s="199"/>
      <c r="E37" s="195"/>
      <c r="F37" s="195"/>
      <c r="G37" s="226"/>
      <c r="H37" s="220">
        <f t="shared" si="1"/>
        <v>0</v>
      </c>
      <c r="I37" s="212"/>
      <c r="AA37" s="23"/>
      <c r="AF37" s="14" t="s">
        <v>98</v>
      </c>
      <c r="AG37" s="15">
        <v>5360552</v>
      </c>
    </row>
    <row r="38" spans="1:33" ht="15" customHeight="1" thickBot="1" x14ac:dyDescent="0.4">
      <c r="A38" s="414"/>
      <c r="B38" s="454"/>
      <c r="C38" s="202" t="s">
        <v>86</v>
      </c>
      <c r="D38" s="204"/>
      <c r="E38" s="205"/>
      <c r="F38" s="205"/>
      <c r="G38" s="225"/>
      <c r="H38" s="210">
        <f t="shared" si="1"/>
        <v>0</v>
      </c>
      <c r="I38" s="212"/>
      <c r="AA38" s="23"/>
      <c r="AF38" s="14" t="s">
        <v>99</v>
      </c>
      <c r="AG38" s="15">
        <v>5560357</v>
      </c>
    </row>
    <row r="39" spans="1:33" ht="15" customHeight="1" x14ac:dyDescent="0.35">
      <c r="A39" s="414"/>
      <c r="B39" s="455" t="s">
        <v>100</v>
      </c>
      <c r="C39" s="200" t="s">
        <v>85</v>
      </c>
      <c r="D39" s="199"/>
      <c r="E39" s="195"/>
      <c r="F39" s="195"/>
      <c r="G39" s="226"/>
      <c r="H39" s="222">
        <f t="shared" si="1"/>
        <v>0</v>
      </c>
      <c r="I39" s="212"/>
      <c r="AA39" s="23"/>
      <c r="AF39" s="14" t="s">
        <v>101</v>
      </c>
      <c r="AG39" s="15">
        <v>5460255</v>
      </c>
    </row>
    <row r="40" spans="1:33" ht="15" customHeight="1" thickBot="1" x14ac:dyDescent="0.4">
      <c r="A40" s="414"/>
      <c r="B40" s="456"/>
      <c r="C40" s="202" t="s">
        <v>86</v>
      </c>
      <c r="D40" s="204"/>
      <c r="E40" s="205"/>
      <c r="F40" s="205"/>
      <c r="G40" s="225"/>
      <c r="H40" s="223">
        <f t="shared" si="1"/>
        <v>0</v>
      </c>
      <c r="I40" s="212"/>
      <c r="AA40" s="23"/>
      <c r="AF40" s="14" t="s">
        <v>102</v>
      </c>
      <c r="AG40" s="15">
        <v>5760500</v>
      </c>
    </row>
    <row r="41" spans="1:33" ht="15" customHeight="1" x14ac:dyDescent="0.35">
      <c r="A41" s="414"/>
      <c r="B41" s="408" t="s">
        <v>103</v>
      </c>
      <c r="C41" s="200" t="s">
        <v>85</v>
      </c>
      <c r="D41" s="199"/>
      <c r="E41" s="195"/>
      <c r="F41" s="195"/>
      <c r="G41" s="226"/>
      <c r="H41" s="197">
        <f t="shared" si="1"/>
        <v>0</v>
      </c>
      <c r="I41" s="212"/>
      <c r="AA41" s="23"/>
      <c r="AF41" s="14" t="s">
        <v>104</v>
      </c>
      <c r="AG41" s="15">
        <v>5160553</v>
      </c>
    </row>
    <row r="42" spans="1:33" ht="15" customHeight="1" thickBot="1" x14ac:dyDescent="0.4">
      <c r="A42" s="414"/>
      <c r="B42" s="457"/>
      <c r="C42" s="202" t="s">
        <v>86</v>
      </c>
      <c r="D42" s="204"/>
      <c r="E42" s="205"/>
      <c r="F42" s="205"/>
      <c r="G42" s="225"/>
      <c r="H42" s="219">
        <f t="shared" si="1"/>
        <v>0</v>
      </c>
      <c r="I42" s="212"/>
      <c r="AA42" s="23"/>
      <c r="AF42" s="14" t="s">
        <v>105</v>
      </c>
      <c r="AG42" s="15">
        <v>8660557</v>
      </c>
    </row>
    <row r="43" spans="1:33" ht="15" customHeight="1" thickTop="1" x14ac:dyDescent="0.35">
      <c r="A43" s="414"/>
      <c r="B43" s="408" t="s">
        <v>13</v>
      </c>
      <c r="C43" s="200" t="s">
        <v>85</v>
      </c>
      <c r="D43" s="206">
        <f t="shared" ref="D43:G44" si="2">D23+D25+D27+D29+D31+D33+D35+D37+D39+D41</f>
        <v>0</v>
      </c>
      <c r="E43" s="194">
        <f t="shared" si="2"/>
        <v>0</v>
      </c>
      <c r="F43" s="194">
        <f t="shared" si="2"/>
        <v>0</v>
      </c>
      <c r="G43" s="227">
        <f t="shared" si="2"/>
        <v>0</v>
      </c>
      <c r="H43" s="221">
        <f t="shared" si="1"/>
        <v>0</v>
      </c>
      <c r="I43" s="212"/>
      <c r="AA43" s="23"/>
      <c r="AF43" s="14" t="s">
        <v>106</v>
      </c>
      <c r="AG43" s="15">
        <v>5560756</v>
      </c>
    </row>
    <row r="44" spans="1:33" ht="15" customHeight="1" thickBot="1" x14ac:dyDescent="0.4">
      <c r="A44" s="415"/>
      <c r="B44" s="451"/>
      <c r="C44" s="216" t="s">
        <v>86</v>
      </c>
      <c r="D44" s="207">
        <f t="shared" si="2"/>
        <v>0</v>
      </c>
      <c r="E44" s="208">
        <f t="shared" si="2"/>
        <v>0</v>
      </c>
      <c r="F44" s="208">
        <f t="shared" si="2"/>
        <v>0</v>
      </c>
      <c r="G44" s="228">
        <f t="shared" si="2"/>
        <v>0</v>
      </c>
      <c r="H44" s="211">
        <f t="shared" si="1"/>
        <v>0</v>
      </c>
      <c r="I44" s="212"/>
      <c r="AA44" s="23"/>
      <c r="AF44" s="14" t="s">
        <v>107</v>
      </c>
      <c r="AG44" s="15">
        <v>8462356</v>
      </c>
    </row>
    <row r="45" spans="1:33" s="26" customFormat="1" ht="19.399999999999999" customHeight="1" thickTop="1" x14ac:dyDescent="0.35">
      <c r="A45" s="24"/>
      <c r="B45" s="24" t="s">
        <v>108</v>
      </c>
      <c r="C45" s="25"/>
      <c r="D45" s="5">
        <f>D43+D44</f>
        <v>0</v>
      </c>
      <c r="E45" s="5">
        <f>E43+E44</f>
        <v>0</v>
      </c>
      <c r="F45" s="5">
        <f>F43+F44</f>
        <v>0</v>
      </c>
      <c r="G45" s="5">
        <f>G43+G44</f>
        <v>0</v>
      </c>
      <c r="H45" s="5">
        <f>H43+H44</f>
        <v>0</v>
      </c>
      <c r="Z45" s="27"/>
      <c r="AA45" s="28"/>
      <c r="AB45" s="4"/>
      <c r="AF45" s="29"/>
      <c r="AG45" s="30"/>
    </row>
    <row r="46" spans="1:33" ht="12" customHeight="1" thickBot="1" x14ac:dyDescent="0.4">
      <c r="A46" s="31"/>
      <c r="B46" s="31"/>
      <c r="C46" s="20"/>
      <c r="D46" s="458">
        <f>SUM(D45:E45)</f>
        <v>0</v>
      </c>
      <c r="E46" s="458"/>
      <c r="F46" s="458">
        <f>SUM(F45:G45)</f>
        <v>0</v>
      </c>
      <c r="G46" s="458"/>
      <c r="AA46" s="23"/>
      <c r="AF46" s="14"/>
      <c r="AG46" s="15"/>
    </row>
    <row r="47" spans="1:33" ht="15" customHeight="1" thickBot="1" x14ac:dyDescent="0.4">
      <c r="A47" s="416" t="s">
        <v>109</v>
      </c>
      <c r="B47" s="435" t="s">
        <v>110</v>
      </c>
      <c r="C47" s="435" t="s">
        <v>111</v>
      </c>
      <c r="D47" s="435" t="s">
        <v>67</v>
      </c>
      <c r="E47" s="474" t="s">
        <v>112</v>
      </c>
      <c r="F47" s="475"/>
      <c r="G47" s="475"/>
      <c r="H47" s="475"/>
      <c r="I47" s="475"/>
      <c r="J47" s="475"/>
      <c r="K47" s="475"/>
      <c r="L47" s="475"/>
      <c r="M47" s="475"/>
      <c r="N47" s="475"/>
      <c r="O47" s="475"/>
      <c r="P47" s="475"/>
      <c r="Q47" s="475"/>
      <c r="R47" s="475"/>
      <c r="S47" s="475"/>
      <c r="T47" s="475"/>
      <c r="U47" s="475"/>
      <c r="V47" s="475"/>
      <c r="W47" s="475"/>
      <c r="X47" s="475"/>
      <c r="Y47" s="476"/>
      <c r="AA47" s="438" t="s">
        <v>113</v>
      </c>
      <c r="AB47" s="439"/>
      <c r="AC47" s="439"/>
      <c r="AD47" s="460"/>
      <c r="AF47" s="14" t="s">
        <v>114</v>
      </c>
      <c r="AG47" s="15">
        <v>6232655</v>
      </c>
    </row>
    <row r="48" spans="1:33" ht="15" customHeight="1" x14ac:dyDescent="0.35">
      <c r="A48" s="417"/>
      <c r="B48" s="452"/>
      <c r="C48" s="452"/>
      <c r="D48" s="452"/>
      <c r="E48" s="430" t="s">
        <v>115</v>
      </c>
      <c r="F48" s="472"/>
      <c r="G48" s="472"/>
      <c r="H48" s="472"/>
      <c r="I48" s="472"/>
      <c r="J48" s="472"/>
      <c r="K48" s="473"/>
      <c r="L48" s="430" t="s">
        <v>116</v>
      </c>
      <c r="M48" s="472"/>
      <c r="N48" s="472"/>
      <c r="O48" s="472"/>
      <c r="P48" s="472"/>
      <c r="Q48" s="472"/>
      <c r="R48" s="473"/>
      <c r="S48" s="430" t="s">
        <v>13</v>
      </c>
      <c r="T48" s="472"/>
      <c r="U48" s="472"/>
      <c r="V48" s="472"/>
      <c r="W48" s="472"/>
      <c r="X48" s="472"/>
      <c r="Y48" s="473"/>
      <c r="AA48" s="33" t="s">
        <v>11</v>
      </c>
      <c r="AB48" s="33">
        <f>SUM(S59:Y62)</f>
        <v>0</v>
      </c>
      <c r="AC48" s="33" t="s">
        <v>82</v>
      </c>
      <c r="AD48" s="34">
        <f>SUM(S72:Y75)</f>
        <v>0</v>
      </c>
      <c r="AF48" s="14" t="s">
        <v>117</v>
      </c>
      <c r="AG48" s="15">
        <v>5260051</v>
      </c>
    </row>
    <row r="49" spans="1:33" ht="19" customHeight="1" thickBot="1" x14ac:dyDescent="0.4">
      <c r="A49" s="417"/>
      <c r="B49" s="452"/>
      <c r="C49" s="452"/>
      <c r="D49" s="452"/>
      <c r="E49" s="442" t="s">
        <v>118</v>
      </c>
      <c r="F49" s="461"/>
      <c r="G49" s="461"/>
      <c r="H49" s="461"/>
      <c r="I49" s="461"/>
      <c r="J49" s="461"/>
      <c r="K49" s="462"/>
      <c r="L49" s="442" t="s">
        <v>118</v>
      </c>
      <c r="M49" s="461"/>
      <c r="N49" s="461"/>
      <c r="O49" s="461"/>
      <c r="P49" s="461"/>
      <c r="Q49" s="461"/>
      <c r="R49" s="462"/>
      <c r="S49" s="442" t="s">
        <v>118</v>
      </c>
      <c r="T49" s="461"/>
      <c r="U49" s="461"/>
      <c r="V49" s="461"/>
      <c r="W49" s="461"/>
      <c r="X49" s="461"/>
      <c r="Y49" s="462"/>
      <c r="AA49" s="19" t="s">
        <v>72</v>
      </c>
      <c r="AB49" s="19">
        <f>SUM(S59:Y60)</f>
        <v>0</v>
      </c>
      <c r="AC49" s="35" t="s">
        <v>119</v>
      </c>
      <c r="AD49" s="36">
        <f>SUM(S72:Y73)</f>
        <v>0</v>
      </c>
      <c r="AF49" s="14" t="s">
        <v>120</v>
      </c>
      <c r="AG49" s="15">
        <v>8560153</v>
      </c>
    </row>
    <row r="50" spans="1:33" ht="58.5" customHeight="1" thickBot="1" x14ac:dyDescent="0.4">
      <c r="A50" s="417"/>
      <c r="B50" s="453"/>
      <c r="C50" s="453"/>
      <c r="D50" s="453"/>
      <c r="E50" s="37" t="s">
        <v>121</v>
      </c>
      <c r="F50" s="38" t="s">
        <v>122</v>
      </c>
      <c r="G50" s="38" t="s">
        <v>123</v>
      </c>
      <c r="H50" s="38" t="s">
        <v>124</v>
      </c>
      <c r="I50" s="38" t="s">
        <v>125</v>
      </c>
      <c r="J50" s="38" t="s">
        <v>126</v>
      </c>
      <c r="K50" s="39" t="s">
        <v>127</v>
      </c>
      <c r="L50" s="37" t="s">
        <v>121</v>
      </c>
      <c r="M50" s="38" t="s">
        <v>122</v>
      </c>
      <c r="N50" s="38" t="s">
        <v>123</v>
      </c>
      <c r="O50" s="38" t="s">
        <v>124</v>
      </c>
      <c r="P50" s="38" t="s">
        <v>125</v>
      </c>
      <c r="Q50" s="40" t="s">
        <v>128</v>
      </c>
      <c r="R50" s="41" t="s">
        <v>129</v>
      </c>
      <c r="S50" s="37" t="s">
        <v>121</v>
      </c>
      <c r="T50" s="38" t="s">
        <v>122</v>
      </c>
      <c r="U50" s="38" t="s">
        <v>123</v>
      </c>
      <c r="V50" s="38" t="s">
        <v>124</v>
      </c>
      <c r="W50" s="38" t="s">
        <v>125</v>
      </c>
      <c r="X50" s="38" t="s">
        <v>128</v>
      </c>
      <c r="Y50" s="42" t="s">
        <v>129</v>
      </c>
      <c r="AA50" s="43" t="s">
        <v>130</v>
      </c>
      <c r="AB50" s="43">
        <f>SUM(S51:Y52)</f>
        <v>0</v>
      </c>
      <c r="AC50" s="43" t="s">
        <v>131</v>
      </c>
      <c r="AD50" s="44">
        <f>SUM(S64:Y65)</f>
        <v>0</v>
      </c>
      <c r="AF50" s="14" t="s">
        <v>132</v>
      </c>
      <c r="AG50" s="15">
        <v>8462453</v>
      </c>
    </row>
    <row r="51" spans="1:33" ht="20.149999999999999" customHeight="1" x14ac:dyDescent="0.35">
      <c r="A51" s="405" t="s">
        <v>11</v>
      </c>
      <c r="B51" s="410" t="s">
        <v>18</v>
      </c>
      <c r="C51" s="426" t="s">
        <v>17</v>
      </c>
      <c r="D51" s="45" t="s">
        <v>85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46">
        <f t="shared" ref="S51:Y58" si="3">E51+L51</f>
        <v>0</v>
      </c>
      <c r="T51" s="47">
        <f>F51+M51</f>
        <v>0</v>
      </c>
      <c r="U51" s="47">
        <f t="shared" si="3"/>
        <v>0</v>
      </c>
      <c r="V51" s="47">
        <f t="shared" si="3"/>
        <v>0</v>
      </c>
      <c r="W51" s="47">
        <f t="shared" si="3"/>
        <v>0</v>
      </c>
      <c r="X51" s="47">
        <f t="shared" si="3"/>
        <v>0</v>
      </c>
      <c r="Y51" s="48">
        <f t="shared" si="3"/>
        <v>0</v>
      </c>
      <c r="AA51" s="43" t="s">
        <v>133</v>
      </c>
      <c r="AB51" s="43">
        <f>SUM(S55:Y56)</f>
        <v>0</v>
      </c>
      <c r="AC51" s="43" t="s">
        <v>134</v>
      </c>
      <c r="AD51" s="44">
        <f>SUM(S68:Y69)</f>
        <v>0</v>
      </c>
      <c r="AF51" s="14" t="s">
        <v>135</v>
      </c>
      <c r="AG51" s="15">
        <v>5560055</v>
      </c>
    </row>
    <row r="52" spans="1:33" ht="20.149999999999999" customHeight="1" thickBot="1" x14ac:dyDescent="0.4">
      <c r="A52" s="406"/>
      <c r="B52" s="411"/>
      <c r="C52" s="412"/>
      <c r="D52" s="51" t="s">
        <v>86</v>
      </c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4"/>
      <c r="S52" s="58">
        <f t="shared" si="3"/>
        <v>0</v>
      </c>
      <c r="T52" s="59">
        <f t="shared" si="3"/>
        <v>0</v>
      </c>
      <c r="U52" s="59">
        <f t="shared" si="3"/>
        <v>0</v>
      </c>
      <c r="V52" s="59">
        <f t="shared" si="3"/>
        <v>0</v>
      </c>
      <c r="W52" s="59">
        <f t="shared" si="3"/>
        <v>0</v>
      </c>
      <c r="X52" s="59">
        <f t="shared" si="3"/>
        <v>0</v>
      </c>
      <c r="Y52" s="61">
        <f t="shared" si="3"/>
        <v>0</v>
      </c>
      <c r="AA52" s="19" t="s">
        <v>76</v>
      </c>
      <c r="AB52" s="19">
        <f>SUM(S61:Y62)</f>
        <v>0</v>
      </c>
      <c r="AC52" s="35" t="s">
        <v>136</v>
      </c>
      <c r="AD52" s="36">
        <f>SUM(S74:Y75)</f>
        <v>0</v>
      </c>
      <c r="AF52" s="14" t="s">
        <v>137</v>
      </c>
      <c r="AG52" s="15">
        <v>5360455</v>
      </c>
    </row>
    <row r="53" spans="1:33" ht="20.149999999999999" customHeight="1" x14ac:dyDescent="0.35">
      <c r="A53" s="406"/>
      <c r="B53" s="411"/>
      <c r="C53" s="450" t="s">
        <v>20</v>
      </c>
      <c r="D53" s="50" t="s">
        <v>85</v>
      </c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90">
        <f t="shared" si="3"/>
        <v>0</v>
      </c>
      <c r="T53" s="291">
        <f t="shared" si="3"/>
        <v>0</v>
      </c>
      <c r="U53" s="291">
        <f t="shared" si="3"/>
        <v>0</v>
      </c>
      <c r="V53" s="291">
        <f t="shared" si="3"/>
        <v>0</v>
      </c>
      <c r="W53" s="291">
        <f t="shared" si="3"/>
        <v>0</v>
      </c>
      <c r="X53" s="291">
        <f t="shared" si="3"/>
        <v>0</v>
      </c>
      <c r="Y53" s="292">
        <f t="shared" si="3"/>
        <v>0</v>
      </c>
      <c r="AA53" s="43" t="s">
        <v>138</v>
      </c>
      <c r="AB53" s="43">
        <f>SUM(S53:Y54)</f>
        <v>0</v>
      </c>
      <c r="AC53" s="43" t="s">
        <v>139</v>
      </c>
      <c r="AD53" s="44">
        <f>SUM(S66:Y67)</f>
        <v>0</v>
      </c>
      <c r="AF53" s="14" t="s">
        <v>140</v>
      </c>
      <c r="AG53" s="15">
        <v>8660352</v>
      </c>
    </row>
    <row r="54" spans="1:33" ht="20.149999999999999" customHeight="1" thickBot="1" x14ac:dyDescent="0.4">
      <c r="A54" s="406"/>
      <c r="B54" s="412"/>
      <c r="C54" s="412"/>
      <c r="D54" s="51" t="s">
        <v>86</v>
      </c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52">
        <f t="shared" si="3"/>
        <v>0</v>
      </c>
      <c r="T54" s="53">
        <f t="shared" si="3"/>
        <v>0</v>
      </c>
      <c r="U54" s="53">
        <f t="shared" si="3"/>
        <v>0</v>
      </c>
      <c r="V54" s="53">
        <f t="shared" si="3"/>
        <v>0</v>
      </c>
      <c r="W54" s="53">
        <f t="shared" si="3"/>
        <v>0</v>
      </c>
      <c r="X54" s="53">
        <f t="shared" si="3"/>
        <v>0</v>
      </c>
      <c r="Y54" s="54">
        <f t="shared" si="3"/>
        <v>0</v>
      </c>
      <c r="AA54" s="43" t="s">
        <v>141</v>
      </c>
      <c r="AB54" s="43">
        <f>SUM(S57:Y58)</f>
        <v>0</v>
      </c>
      <c r="AC54" s="43" t="s">
        <v>142</v>
      </c>
      <c r="AD54" s="44">
        <f>SUM(S70:Y71)</f>
        <v>0</v>
      </c>
      <c r="AF54" s="14" t="s">
        <v>143</v>
      </c>
      <c r="AG54" s="15">
        <v>8461652</v>
      </c>
    </row>
    <row r="55" spans="1:33" ht="20.149999999999999" customHeight="1" x14ac:dyDescent="0.35">
      <c r="A55" s="406"/>
      <c r="B55" s="410" t="s">
        <v>21</v>
      </c>
      <c r="C55" s="426" t="s">
        <v>17</v>
      </c>
      <c r="D55" s="45" t="s">
        <v>85</v>
      </c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2"/>
      <c r="S55" s="46">
        <f t="shared" ref="S55:Y56" si="4">E55+L55</f>
        <v>0</v>
      </c>
      <c r="T55" s="47">
        <f t="shared" si="4"/>
        <v>0</v>
      </c>
      <c r="U55" s="47">
        <f t="shared" si="4"/>
        <v>0</v>
      </c>
      <c r="V55" s="47">
        <f t="shared" si="4"/>
        <v>0</v>
      </c>
      <c r="W55" s="47">
        <f t="shared" si="4"/>
        <v>0</v>
      </c>
      <c r="X55" s="47">
        <f t="shared" si="4"/>
        <v>0</v>
      </c>
      <c r="Y55" s="48">
        <f t="shared" si="4"/>
        <v>0</v>
      </c>
      <c r="AA55" s="19" t="s">
        <v>144</v>
      </c>
      <c r="AB55" s="19">
        <f>SUM(S51:Y54)</f>
        <v>0</v>
      </c>
      <c r="AC55" s="19" t="s">
        <v>145</v>
      </c>
      <c r="AD55" s="55">
        <f>SUM(S64:Y67)</f>
        <v>0</v>
      </c>
      <c r="AF55" s="14" t="s">
        <v>146</v>
      </c>
      <c r="AG55" s="15">
        <v>5560454</v>
      </c>
    </row>
    <row r="56" spans="1:33" ht="20.149999999999999" customHeight="1" thickBot="1" x14ac:dyDescent="0.4">
      <c r="A56" s="406"/>
      <c r="B56" s="411"/>
      <c r="C56" s="412"/>
      <c r="D56" s="51" t="s">
        <v>86</v>
      </c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4"/>
      <c r="S56" s="58">
        <f t="shared" si="4"/>
        <v>0</v>
      </c>
      <c r="T56" s="59">
        <f t="shared" si="4"/>
        <v>0</v>
      </c>
      <c r="U56" s="59">
        <f t="shared" si="4"/>
        <v>0</v>
      </c>
      <c r="V56" s="59">
        <f t="shared" si="4"/>
        <v>0</v>
      </c>
      <c r="W56" s="59">
        <f t="shared" si="4"/>
        <v>0</v>
      </c>
      <c r="X56" s="59">
        <f t="shared" si="4"/>
        <v>0</v>
      </c>
      <c r="Y56" s="61">
        <f t="shared" si="4"/>
        <v>0</v>
      </c>
      <c r="AA56" s="19" t="s">
        <v>147</v>
      </c>
      <c r="AB56" s="19">
        <f>SUM(S55:Y58)</f>
        <v>0</v>
      </c>
      <c r="AC56" s="19" t="s">
        <v>148</v>
      </c>
      <c r="AD56" s="55">
        <f>SUM(S68:Y71)</f>
        <v>0</v>
      </c>
      <c r="AF56" s="14" t="s">
        <v>149</v>
      </c>
      <c r="AG56" s="15">
        <v>8461155</v>
      </c>
    </row>
    <row r="57" spans="1:33" ht="20.149999999999999" customHeight="1" x14ac:dyDescent="0.35">
      <c r="A57" s="406"/>
      <c r="B57" s="411"/>
      <c r="C57" s="450" t="s">
        <v>20</v>
      </c>
      <c r="D57" s="50" t="s">
        <v>85</v>
      </c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95"/>
      <c r="S57" s="290">
        <f t="shared" si="3"/>
        <v>0</v>
      </c>
      <c r="T57" s="291">
        <f t="shared" si="3"/>
        <v>0</v>
      </c>
      <c r="U57" s="291">
        <f t="shared" si="3"/>
        <v>0</v>
      </c>
      <c r="V57" s="291">
        <f t="shared" si="3"/>
        <v>0</v>
      </c>
      <c r="W57" s="291">
        <f t="shared" si="3"/>
        <v>0</v>
      </c>
      <c r="X57" s="291">
        <f t="shared" si="3"/>
        <v>0</v>
      </c>
      <c r="Y57" s="292">
        <f t="shared" si="3"/>
        <v>0</v>
      </c>
      <c r="AA57" s="19" t="s">
        <v>78</v>
      </c>
      <c r="AB57" s="19">
        <f>S59+T59+U59+V59+W59+X59+Y59+S61+T61+U61+V61+W61+X61+Y61</f>
        <v>0</v>
      </c>
      <c r="AC57" s="19" t="s">
        <v>93</v>
      </c>
      <c r="AD57" s="55">
        <f>S72+T72+U72+V72+W72+X72+Y72+S74+T74+U74+V74+W74+X74+Y74</f>
        <v>0</v>
      </c>
      <c r="AF57" s="14" t="s">
        <v>150</v>
      </c>
      <c r="AG57" s="15">
        <v>5160057</v>
      </c>
    </row>
    <row r="58" spans="1:33" ht="20.149999999999999" customHeight="1" thickBot="1" x14ac:dyDescent="0.4">
      <c r="A58" s="406"/>
      <c r="B58" s="412"/>
      <c r="C58" s="412"/>
      <c r="D58" s="56" t="s">
        <v>86</v>
      </c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52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  <c r="X58" s="53">
        <f t="shared" si="3"/>
        <v>0</v>
      </c>
      <c r="Y58" s="54">
        <f t="shared" si="3"/>
        <v>0</v>
      </c>
      <c r="AA58" s="19" t="s">
        <v>80</v>
      </c>
      <c r="AB58" s="19">
        <f>S60+T60+U60+V60+W60+X60+Y60+S62+T62+U62+V62+W62+X62+Y62</f>
        <v>0</v>
      </c>
      <c r="AC58" s="19" t="s">
        <v>95</v>
      </c>
      <c r="AD58" s="55">
        <f>S73+T73+U73+V73+W73+X73+Y73+S75+T75+U75+V75+W75+X75+Y75</f>
        <v>0</v>
      </c>
      <c r="AF58" s="14" t="s">
        <v>151</v>
      </c>
      <c r="AG58" s="15">
        <v>5560659</v>
      </c>
    </row>
    <row r="59" spans="1:33" ht="20.149999999999999" customHeight="1" x14ac:dyDescent="0.35">
      <c r="A59" s="406"/>
      <c r="B59" s="410" t="s">
        <v>13</v>
      </c>
      <c r="C59" s="426" t="s">
        <v>17</v>
      </c>
      <c r="D59" s="45" t="s">
        <v>85</v>
      </c>
      <c r="E59" s="46">
        <f t="shared" ref="E59:Y62" si="5">E51+E55</f>
        <v>0</v>
      </c>
      <c r="F59" s="47">
        <f t="shared" si="5"/>
        <v>0</v>
      </c>
      <c r="G59" s="47">
        <f t="shared" si="5"/>
        <v>0</v>
      </c>
      <c r="H59" s="47">
        <f t="shared" si="5"/>
        <v>0</v>
      </c>
      <c r="I59" s="47">
        <f t="shared" si="5"/>
        <v>0</v>
      </c>
      <c r="J59" s="47">
        <f t="shared" si="5"/>
        <v>0</v>
      </c>
      <c r="K59" s="57">
        <f t="shared" si="5"/>
        <v>0</v>
      </c>
      <c r="L59" s="46">
        <f t="shared" ref="L59:R59" si="6">L51+L55</f>
        <v>0</v>
      </c>
      <c r="M59" s="47">
        <f t="shared" si="6"/>
        <v>0</v>
      </c>
      <c r="N59" s="47">
        <f t="shared" si="6"/>
        <v>0</v>
      </c>
      <c r="O59" s="47">
        <f t="shared" si="6"/>
        <v>0</v>
      </c>
      <c r="P59" s="47">
        <f t="shared" si="6"/>
        <v>0</v>
      </c>
      <c r="Q59" s="47">
        <f t="shared" si="6"/>
        <v>0</v>
      </c>
      <c r="R59" s="57">
        <f t="shared" si="6"/>
        <v>0</v>
      </c>
      <c r="S59" s="46">
        <f t="shared" si="5"/>
        <v>0</v>
      </c>
      <c r="T59" s="47">
        <f>T51+T55</f>
        <v>0</v>
      </c>
      <c r="U59" s="47">
        <f t="shared" si="5"/>
        <v>0</v>
      </c>
      <c r="V59" s="47">
        <f>V51+V55</f>
        <v>0</v>
      </c>
      <c r="W59" s="47">
        <f t="shared" si="5"/>
        <v>0</v>
      </c>
      <c r="X59" s="47">
        <f t="shared" si="5"/>
        <v>0</v>
      </c>
      <c r="Y59" s="48">
        <f t="shared" si="5"/>
        <v>0</v>
      </c>
      <c r="AA59" s="19" t="s">
        <v>152</v>
      </c>
      <c r="AB59" s="19">
        <f>SUM(S59:S62)</f>
        <v>0</v>
      </c>
      <c r="AC59" s="19" t="s">
        <v>153</v>
      </c>
      <c r="AD59" s="55">
        <f>SUM(S72:S75)</f>
        <v>0</v>
      </c>
      <c r="AF59" s="14" t="s">
        <v>154</v>
      </c>
      <c r="AG59" s="15">
        <v>6002757</v>
      </c>
    </row>
    <row r="60" spans="1:33" ht="20.149999999999999" customHeight="1" thickBot="1" x14ac:dyDescent="0.4">
      <c r="A60" s="406"/>
      <c r="B60" s="411"/>
      <c r="C60" s="412"/>
      <c r="D60" s="51" t="s">
        <v>86</v>
      </c>
      <c r="E60" s="58">
        <f t="shared" ref="E60:K60" si="7">E52+E56</f>
        <v>0</v>
      </c>
      <c r="F60" s="59">
        <f t="shared" si="7"/>
        <v>0</v>
      </c>
      <c r="G60" s="59">
        <f t="shared" si="7"/>
        <v>0</v>
      </c>
      <c r="H60" s="59">
        <f t="shared" si="7"/>
        <v>0</v>
      </c>
      <c r="I60" s="59">
        <f t="shared" si="7"/>
        <v>0</v>
      </c>
      <c r="J60" s="59">
        <f t="shared" si="7"/>
        <v>0</v>
      </c>
      <c r="K60" s="60">
        <f t="shared" si="7"/>
        <v>0</v>
      </c>
      <c r="L60" s="58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60">
        <f t="shared" si="5"/>
        <v>0</v>
      </c>
      <c r="S60" s="58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61">
        <f t="shared" si="5"/>
        <v>0</v>
      </c>
      <c r="AA60" s="19" t="s">
        <v>155</v>
      </c>
      <c r="AB60" s="19">
        <f>SUM(T59:T62)</f>
        <v>0</v>
      </c>
      <c r="AC60" s="19" t="s">
        <v>156</v>
      </c>
      <c r="AD60" s="55">
        <f>SUM(T72:T75)</f>
        <v>0</v>
      </c>
      <c r="AF60" s="14" t="s">
        <v>157</v>
      </c>
      <c r="AG60" s="15">
        <v>6103650</v>
      </c>
    </row>
    <row r="61" spans="1:33" ht="20.149999999999999" customHeight="1" x14ac:dyDescent="0.35">
      <c r="A61" s="406"/>
      <c r="B61" s="411"/>
      <c r="C61" s="426" t="s">
        <v>20</v>
      </c>
      <c r="D61" s="45" t="s">
        <v>85</v>
      </c>
      <c r="E61" s="46">
        <f t="shared" si="5"/>
        <v>0</v>
      </c>
      <c r="F61" s="47">
        <f t="shared" si="5"/>
        <v>0</v>
      </c>
      <c r="G61" s="47">
        <f t="shared" si="5"/>
        <v>0</v>
      </c>
      <c r="H61" s="47">
        <f t="shared" si="5"/>
        <v>0</v>
      </c>
      <c r="I61" s="47">
        <f t="shared" si="5"/>
        <v>0</v>
      </c>
      <c r="J61" s="47">
        <f t="shared" si="5"/>
        <v>0</v>
      </c>
      <c r="K61" s="57">
        <f t="shared" si="5"/>
        <v>0</v>
      </c>
      <c r="L61" s="46">
        <f t="shared" si="5"/>
        <v>0</v>
      </c>
      <c r="M61" s="47">
        <f t="shared" si="5"/>
        <v>0</v>
      </c>
      <c r="N61" s="47">
        <f t="shared" si="5"/>
        <v>0</v>
      </c>
      <c r="O61" s="47">
        <f t="shared" si="5"/>
        <v>0</v>
      </c>
      <c r="P61" s="47">
        <f t="shared" si="5"/>
        <v>0</v>
      </c>
      <c r="Q61" s="47">
        <f t="shared" si="5"/>
        <v>0</v>
      </c>
      <c r="R61" s="57">
        <f t="shared" si="5"/>
        <v>0</v>
      </c>
      <c r="S61" s="46">
        <f t="shared" si="5"/>
        <v>0</v>
      </c>
      <c r="T61" s="47">
        <f t="shared" si="5"/>
        <v>0</v>
      </c>
      <c r="U61" s="47">
        <f t="shared" si="5"/>
        <v>0</v>
      </c>
      <c r="V61" s="47">
        <f t="shared" si="5"/>
        <v>0</v>
      </c>
      <c r="W61" s="47">
        <f t="shared" si="5"/>
        <v>0</v>
      </c>
      <c r="X61" s="47">
        <f t="shared" si="5"/>
        <v>0</v>
      </c>
      <c r="Y61" s="48">
        <f t="shared" si="5"/>
        <v>0</v>
      </c>
      <c r="AA61" s="19" t="s">
        <v>158</v>
      </c>
      <c r="AB61" s="19">
        <f>SUM(U59:U62)</f>
        <v>0</v>
      </c>
      <c r="AC61" s="19" t="s">
        <v>159</v>
      </c>
      <c r="AD61" s="55">
        <f>SUM(U72:U75)</f>
        <v>0</v>
      </c>
      <c r="AF61" s="14" t="s">
        <v>160</v>
      </c>
      <c r="AG61" s="15">
        <v>5160650</v>
      </c>
    </row>
    <row r="62" spans="1:33" ht="20.149999999999999" customHeight="1" thickBot="1" x14ac:dyDescent="0.4">
      <c r="A62" s="407"/>
      <c r="B62" s="412"/>
      <c r="C62" s="412"/>
      <c r="D62" s="51" t="s">
        <v>86</v>
      </c>
      <c r="E62" s="58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60">
        <f t="shared" si="5"/>
        <v>0</v>
      </c>
      <c r="L62" s="58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60">
        <f t="shared" si="5"/>
        <v>0</v>
      </c>
      <c r="S62" s="58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61">
        <f t="shared" si="5"/>
        <v>0</v>
      </c>
      <c r="Z62" s="314">
        <f>SUM(S59:Y62)</f>
        <v>0</v>
      </c>
      <c r="AA62" s="19" t="s">
        <v>161</v>
      </c>
      <c r="AB62" s="19">
        <f>SUM(V59:V62)</f>
        <v>0</v>
      </c>
      <c r="AC62" s="19" t="s">
        <v>162</v>
      </c>
      <c r="AD62" s="55">
        <f>SUM(V72:V75)</f>
        <v>0</v>
      </c>
      <c r="AF62" s="14" t="s">
        <v>163</v>
      </c>
      <c r="AG62" s="15">
        <v>5560853</v>
      </c>
    </row>
    <row r="63" spans="1:33" ht="6.65" customHeight="1" thickBot="1" x14ac:dyDescent="0.4">
      <c r="A63" s="49"/>
      <c r="B63" s="62"/>
      <c r="C63" s="32"/>
      <c r="D63" s="63"/>
      <c r="E63" s="64"/>
      <c r="F63" s="65"/>
      <c r="G63" s="65"/>
      <c r="H63" s="65"/>
      <c r="I63" s="65"/>
      <c r="J63" s="65"/>
      <c r="K63" s="66"/>
      <c r="L63" s="64"/>
      <c r="M63" s="65"/>
      <c r="N63" s="65"/>
      <c r="O63" s="65"/>
      <c r="P63" s="65"/>
      <c r="Q63" s="65"/>
      <c r="R63" s="66"/>
      <c r="S63" s="10"/>
      <c r="T63" s="65"/>
      <c r="U63" s="65"/>
      <c r="V63" s="65"/>
      <c r="W63" s="65"/>
      <c r="X63" s="65"/>
      <c r="Y63" s="64"/>
      <c r="AA63" s="19"/>
      <c r="AB63" s="19"/>
      <c r="AF63" s="14"/>
      <c r="AG63" s="15"/>
    </row>
    <row r="64" spans="1:33" ht="20.149999999999999" customHeight="1" x14ac:dyDescent="0.35">
      <c r="A64" s="405" t="s">
        <v>82</v>
      </c>
      <c r="B64" s="410" t="s">
        <v>18</v>
      </c>
      <c r="C64" s="426" t="s">
        <v>17</v>
      </c>
      <c r="D64" s="67" t="s">
        <v>85</v>
      </c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2"/>
      <c r="S64" s="46">
        <f t="shared" ref="S64:Y71" si="8">E64+L64</f>
        <v>0</v>
      </c>
      <c r="T64" s="47">
        <f t="shared" si="8"/>
        <v>0</v>
      </c>
      <c r="U64" s="47">
        <f t="shared" si="8"/>
        <v>0</v>
      </c>
      <c r="V64" s="47">
        <f t="shared" si="8"/>
        <v>0</v>
      </c>
      <c r="W64" s="47">
        <f t="shared" si="8"/>
        <v>0</v>
      </c>
      <c r="X64" s="47">
        <f t="shared" si="8"/>
        <v>0</v>
      </c>
      <c r="Y64" s="48">
        <f t="shared" si="8"/>
        <v>0</v>
      </c>
      <c r="AA64" s="19" t="s">
        <v>164</v>
      </c>
      <c r="AB64" s="19">
        <f>SUM(W59:W62)</f>
        <v>0</v>
      </c>
      <c r="AC64" s="19" t="s">
        <v>165</v>
      </c>
      <c r="AD64" s="55">
        <f>SUM(W72:W75)</f>
        <v>0</v>
      </c>
      <c r="AF64" s="14"/>
      <c r="AG64" s="15"/>
    </row>
    <row r="65" spans="1:33" ht="20.149999999999999" customHeight="1" thickBot="1" x14ac:dyDescent="0.4">
      <c r="A65" s="406"/>
      <c r="B65" s="411"/>
      <c r="C65" s="412"/>
      <c r="D65" s="70" t="s">
        <v>86</v>
      </c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4"/>
      <c r="S65" s="58">
        <f t="shared" si="8"/>
        <v>0</v>
      </c>
      <c r="T65" s="59">
        <f t="shared" si="8"/>
        <v>0</v>
      </c>
      <c r="U65" s="59">
        <f t="shared" si="8"/>
        <v>0</v>
      </c>
      <c r="V65" s="59">
        <f t="shared" si="8"/>
        <v>0</v>
      </c>
      <c r="W65" s="59">
        <f t="shared" si="8"/>
        <v>0</v>
      </c>
      <c r="X65" s="59">
        <f t="shared" si="8"/>
        <v>0</v>
      </c>
      <c r="Y65" s="61">
        <f t="shared" si="8"/>
        <v>0</v>
      </c>
      <c r="AA65" s="19" t="s">
        <v>166</v>
      </c>
      <c r="AB65" s="19">
        <f>SUM(X59:X62)</f>
        <v>0</v>
      </c>
      <c r="AC65" s="19" t="s">
        <v>167</v>
      </c>
      <c r="AD65" s="55">
        <f>SUM(X72:X75)</f>
        <v>0</v>
      </c>
      <c r="AF65" s="14"/>
      <c r="AG65" s="15"/>
    </row>
    <row r="66" spans="1:33" ht="20.149999999999999" customHeight="1" thickBot="1" x14ac:dyDescent="0.4">
      <c r="A66" s="406"/>
      <c r="B66" s="411"/>
      <c r="C66" s="426" t="s">
        <v>20</v>
      </c>
      <c r="D66" s="71" t="s">
        <v>85</v>
      </c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2"/>
      <c r="S66" s="46">
        <f t="shared" si="8"/>
        <v>0</v>
      </c>
      <c r="T66" s="47">
        <f t="shared" si="8"/>
        <v>0</v>
      </c>
      <c r="U66" s="47">
        <f t="shared" si="8"/>
        <v>0</v>
      </c>
      <c r="V66" s="47">
        <f t="shared" si="8"/>
        <v>0</v>
      </c>
      <c r="W66" s="47">
        <f t="shared" si="8"/>
        <v>0</v>
      </c>
      <c r="X66" s="47">
        <f t="shared" si="8"/>
        <v>0</v>
      </c>
      <c r="Y66" s="48">
        <f t="shared" si="8"/>
        <v>0</v>
      </c>
      <c r="AA66" s="22" t="s">
        <v>168</v>
      </c>
      <c r="AB66" s="22">
        <f>SUM(Y59:Y62)</f>
        <v>0</v>
      </c>
      <c r="AC66" s="22" t="s">
        <v>169</v>
      </c>
      <c r="AD66" s="69">
        <f>SUM(Y72:Y75)</f>
        <v>0</v>
      </c>
      <c r="AF66" s="14"/>
      <c r="AG66" s="15"/>
    </row>
    <row r="67" spans="1:33" ht="20.149999999999999" customHeight="1" thickBot="1" x14ac:dyDescent="0.4">
      <c r="A67" s="406"/>
      <c r="B67" s="412"/>
      <c r="C67" s="412"/>
      <c r="D67" s="70" t="s">
        <v>86</v>
      </c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58">
        <f t="shared" si="8"/>
        <v>0</v>
      </c>
      <c r="T67" s="59">
        <f t="shared" si="8"/>
        <v>0</v>
      </c>
      <c r="U67" s="59">
        <f t="shared" si="8"/>
        <v>0</v>
      </c>
      <c r="V67" s="59">
        <f t="shared" si="8"/>
        <v>0</v>
      </c>
      <c r="W67" s="59">
        <f t="shared" si="8"/>
        <v>0</v>
      </c>
      <c r="X67" s="59">
        <f t="shared" si="8"/>
        <v>0</v>
      </c>
      <c r="Y67" s="61">
        <f t="shared" si="8"/>
        <v>0</v>
      </c>
      <c r="AA67" s="13"/>
      <c r="AB67" s="13"/>
      <c r="AF67" s="14"/>
      <c r="AG67" s="15"/>
    </row>
    <row r="68" spans="1:33" ht="20.149999999999999" customHeight="1" x14ac:dyDescent="0.35">
      <c r="A68" s="406"/>
      <c r="B68" s="410" t="s">
        <v>21</v>
      </c>
      <c r="C68" s="426" t="s">
        <v>17</v>
      </c>
      <c r="D68" s="71" t="s">
        <v>85</v>
      </c>
      <c r="E68" s="230"/>
      <c r="F68" s="232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2"/>
      <c r="S68" s="46">
        <f t="shared" si="8"/>
        <v>0</v>
      </c>
      <c r="T68" s="47">
        <f t="shared" si="8"/>
        <v>0</v>
      </c>
      <c r="U68" s="47">
        <f t="shared" si="8"/>
        <v>0</v>
      </c>
      <c r="V68" s="47">
        <f t="shared" si="8"/>
        <v>0</v>
      </c>
      <c r="W68" s="47">
        <f t="shared" si="8"/>
        <v>0</v>
      </c>
      <c r="X68" s="47">
        <f t="shared" si="8"/>
        <v>0</v>
      </c>
      <c r="Y68" s="48">
        <f t="shared" si="8"/>
        <v>0</v>
      </c>
      <c r="AA68" s="72"/>
      <c r="AB68" s="72"/>
      <c r="AF68" s="14"/>
      <c r="AG68" s="15"/>
    </row>
    <row r="69" spans="1:33" ht="20.149999999999999" customHeight="1" thickBot="1" x14ac:dyDescent="0.4">
      <c r="A69" s="406"/>
      <c r="B69" s="411"/>
      <c r="C69" s="412"/>
      <c r="D69" s="70" t="s">
        <v>86</v>
      </c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4"/>
      <c r="S69" s="58">
        <f t="shared" si="8"/>
        <v>0</v>
      </c>
      <c r="T69" s="59">
        <f t="shared" si="8"/>
        <v>0</v>
      </c>
      <c r="U69" s="59">
        <f t="shared" si="8"/>
        <v>0</v>
      </c>
      <c r="V69" s="59">
        <f t="shared" si="8"/>
        <v>0</v>
      </c>
      <c r="W69" s="59">
        <f t="shared" si="8"/>
        <v>0</v>
      </c>
      <c r="X69" s="59">
        <f t="shared" si="8"/>
        <v>0</v>
      </c>
      <c r="Y69" s="61">
        <f t="shared" si="8"/>
        <v>0</v>
      </c>
      <c r="AA69" s="72"/>
      <c r="AB69" s="72"/>
      <c r="AF69" s="14"/>
      <c r="AG69" s="15"/>
    </row>
    <row r="70" spans="1:33" ht="20.149999999999999" customHeight="1" x14ac:dyDescent="0.35">
      <c r="A70" s="406"/>
      <c r="B70" s="411"/>
      <c r="C70" s="450" t="s">
        <v>20</v>
      </c>
      <c r="D70" s="68" t="s">
        <v>85</v>
      </c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95"/>
      <c r="Q70" s="231"/>
      <c r="R70" s="295"/>
      <c r="S70" s="290">
        <f t="shared" si="8"/>
        <v>0</v>
      </c>
      <c r="T70" s="291">
        <f t="shared" si="8"/>
        <v>0</v>
      </c>
      <c r="U70" s="291">
        <f t="shared" si="8"/>
        <v>0</v>
      </c>
      <c r="V70" s="291">
        <f t="shared" si="8"/>
        <v>0</v>
      </c>
      <c r="W70" s="291">
        <f t="shared" si="8"/>
        <v>0</v>
      </c>
      <c r="X70" s="291">
        <f t="shared" si="8"/>
        <v>0</v>
      </c>
      <c r="Y70" s="292">
        <f t="shared" si="8"/>
        <v>0</v>
      </c>
      <c r="AA70" s="23"/>
      <c r="AB70" s="23"/>
      <c r="AF70" s="14"/>
      <c r="AG70" s="15"/>
    </row>
    <row r="71" spans="1:33" ht="20.149999999999999" customHeight="1" thickBot="1" x14ac:dyDescent="0.4">
      <c r="A71" s="406"/>
      <c r="B71" s="412"/>
      <c r="C71" s="412"/>
      <c r="D71" s="73" t="s">
        <v>86</v>
      </c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52">
        <f t="shared" si="8"/>
        <v>0</v>
      </c>
      <c r="T71" s="53">
        <f t="shared" si="8"/>
        <v>0</v>
      </c>
      <c r="U71" s="53">
        <f t="shared" si="8"/>
        <v>0</v>
      </c>
      <c r="V71" s="53">
        <f t="shared" si="8"/>
        <v>0</v>
      </c>
      <c r="W71" s="53">
        <f t="shared" si="8"/>
        <v>0</v>
      </c>
      <c r="X71" s="53">
        <f t="shared" si="8"/>
        <v>0</v>
      </c>
      <c r="Y71" s="54">
        <f t="shared" si="8"/>
        <v>0</v>
      </c>
      <c r="AA71" s="23"/>
      <c r="AB71" s="23"/>
      <c r="AF71" s="14"/>
      <c r="AG71" s="15"/>
    </row>
    <row r="72" spans="1:33" ht="20.149999999999999" customHeight="1" x14ac:dyDescent="0.35">
      <c r="A72" s="406"/>
      <c r="B72" s="410" t="s">
        <v>13</v>
      </c>
      <c r="C72" s="426" t="s">
        <v>17</v>
      </c>
      <c r="D72" s="71" t="s">
        <v>85</v>
      </c>
      <c r="E72" s="46">
        <f t="shared" ref="E72:R72" si="9">E64+E68</f>
        <v>0</v>
      </c>
      <c r="F72" s="47">
        <f t="shared" si="9"/>
        <v>0</v>
      </c>
      <c r="G72" s="47">
        <f t="shared" si="9"/>
        <v>0</v>
      </c>
      <c r="H72" s="47">
        <f t="shared" si="9"/>
        <v>0</v>
      </c>
      <c r="I72" s="47">
        <f t="shared" si="9"/>
        <v>0</v>
      </c>
      <c r="J72" s="47">
        <f t="shared" si="9"/>
        <v>0</v>
      </c>
      <c r="K72" s="57">
        <f t="shared" si="9"/>
        <v>0</v>
      </c>
      <c r="L72" s="46">
        <f t="shared" si="9"/>
        <v>0</v>
      </c>
      <c r="M72" s="47">
        <f t="shared" si="9"/>
        <v>0</v>
      </c>
      <c r="N72" s="47">
        <f t="shared" si="9"/>
        <v>0</v>
      </c>
      <c r="O72" s="47">
        <f t="shared" si="9"/>
        <v>0</v>
      </c>
      <c r="P72" s="47">
        <f t="shared" si="9"/>
        <v>0</v>
      </c>
      <c r="Q72" s="47">
        <f t="shared" si="9"/>
        <v>0</v>
      </c>
      <c r="R72" s="57">
        <f t="shared" si="9"/>
        <v>0</v>
      </c>
      <c r="S72" s="46">
        <f t="shared" ref="S72:Y75" si="10">S64+S68</f>
        <v>0</v>
      </c>
      <c r="T72" s="47">
        <f t="shared" si="10"/>
        <v>0</v>
      </c>
      <c r="U72" s="47">
        <f t="shared" si="10"/>
        <v>0</v>
      </c>
      <c r="V72" s="47">
        <f t="shared" si="10"/>
        <v>0</v>
      </c>
      <c r="W72" s="47">
        <f t="shared" si="10"/>
        <v>0</v>
      </c>
      <c r="X72" s="47">
        <f t="shared" si="10"/>
        <v>0</v>
      </c>
      <c r="Y72" s="48">
        <f t="shared" si="10"/>
        <v>0</v>
      </c>
      <c r="AA72" s="23"/>
      <c r="AB72" s="23"/>
      <c r="AF72" s="14"/>
      <c r="AG72" s="15"/>
    </row>
    <row r="73" spans="1:33" ht="20.149999999999999" customHeight="1" thickBot="1" x14ac:dyDescent="0.4">
      <c r="A73" s="406"/>
      <c r="B73" s="411"/>
      <c r="C73" s="412"/>
      <c r="D73" s="70" t="s">
        <v>86</v>
      </c>
      <c r="E73" s="58">
        <f t="shared" ref="E73:R73" si="11">E65+E69</f>
        <v>0</v>
      </c>
      <c r="F73" s="59">
        <f t="shared" si="11"/>
        <v>0</v>
      </c>
      <c r="G73" s="59">
        <f t="shared" si="11"/>
        <v>0</v>
      </c>
      <c r="H73" s="59">
        <f t="shared" si="11"/>
        <v>0</v>
      </c>
      <c r="I73" s="59">
        <f t="shared" si="11"/>
        <v>0</v>
      </c>
      <c r="J73" s="59">
        <f t="shared" si="11"/>
        <v>0</v>
      </c>
      <c r="K73" s="60">
        <f t="shared" si="11"/>
        <v>0</v>
      </c>
      <c r="L73" s="58">
        <f t="shared" si="11"/>
        <v>0</v>
      </c>
      <c r="M73" s="59">
        <f t="shared" si="11"/>
        <v>0</v>
      </c>
      <c r="N73" s="59">
        <f t="shared" si="11"/>
        <v>0</v>
      </c>
      <c r="O73" s="59">
        <f t="shared" si="11"/>
        <v>0</v>
      </c>
      <c r="P73" s="59">
        <f t="shared" si="11"/>
        <v>0</v>
      </c>
      <c r="Q73" s="59">
        <f t="shared" si="11"/>
        <v>0</v>
      </c>
      <c r="R73" s="60">
        <f t="shared" si="11"/>
        <v>0</v>
      </c>
      <c r="S73" s="58">
        <f t="shared" si="10"/>
        <v>0</v>
      </c>
      <c r="T73" s="59">
        <f t="shared" si="10"/>
        <v>0</v>
      </c>
      <c r="U73" s="59">
        <f t="shared" si="10"/>
        <v>0</v>
      </c>
      <c r="V73" s="59">
        <f t="shared" si="10"/>
        <v>0</v>
      </c>
      <c r="W73" s="59">
        <f t="shared" si="10"/>
        <v>0</v>
      </c>
      <c r="X73" s="59">
        <f t="shared" si="10"/>
        <v>0</v>
      </c>
      <c r="Y73" s="61">
        <f t="shared" si="10"/>
        <v>0</v>
      </c>
      <c r="AA73" s="23"/>
      <c r="AB73" s="23"/>
      <c r="AF73" s="14"/>
      <c r="AG73" s="15"/>
    </row>
    <row r="74" spans="1:33" ht="20.149999999999999" customHeight="1" x14ac:dyDescent="0.35">
      <c r="A74" s="406"/>
      <c r="B74" s="411"/>
      <c r="C74" s="426" t="s">
        <v>20</v>
      </c>
      <c r="D74" s="71" t="s">
        <v>85</v>
      </c>
      <c r="E74" s="46">
        <f t="shared" ref="E74:R74" si="12">E66+E70</f>
        <v>0</v>
      </c>
      <c r="F74" s="47">
        <f t="shared" si="12"/>
        <v>0</v>
      </c>
      <c r="G74" s="47">
        <f t="shared" si="12"/>
        <v>0</v>
      </c>
      <c r="H74" s="47">
        <f t="shared" si="12"/>
        <v>0</v>
      </c>
      <c r="I74" s="47">
        <f t="shared" si="12"/>
        <v>0</v>
      </c>
      <c r="J74" s="47">
        <f t="shared" si="12"/>
        <v>0</v>
      </c>
      <c r="K74" s="57">
        <f t="shared" si="12"/>
        <v>0</v>
      </c>
      <c r="L74" s="46">
        <f t="shared" si="12"/>
        <v>0</v>
      </c>
      <c r="M74" s="47">
        <f t="shared" si="12"/>
        <v>0</v>
      </c>
      <c r="N74" s="47">
        <f t="shared" si="12"/>
        <v>0</v>
      </c>
      <c r="O74" s="47">
        <f t="shared" si="12"/>
        <v>0</v>
      </c>
      <c r="P74" s="47">
        <f t="shared" si="12"/>
        <v>0</v>
      </c>
      <c r="Q74" s="47">
        <f t="shared" si="12"/>
        <v>0</v>
      </c>
      <c r="R74" s="57">
        <f t="shared" si="12"/>
        <v>0</v>
      </c>
      <c r="S74" s="46">
        <f t="shared" si="10"/>
        <v>0</v>
      </c>
      <c r="T74" s="47">
        <f t="shared" si="10"/>
        <v>0</v>
      </c>
      <c r="U74" s="47">
        <f t="shared" si="10"/>
        <v>0</v>
      </c>
      <c r="V74" s="47">
        <f t="shared" si="10"/>
        <v>0</v>
      </c>
      <c r="W74" s="47">
        <f t="shared" si="10"/>
        <v>0</v>
      </c>
      <c r="X74" s="47">
        <f t="shared" si="10"/>
        <v>0</v>
      </c>
      <c r="Y74" s="48">
        <f t="shared" si="10"/>
        <v>0</v>
      </c>
      <c r="AA74" s="23"/>
      <c r="AB74" s="23"/>
      <c r="AF74" s="14"/>
      <c r="AG74" s="15"/>
    </row>
    <row r="75" spans="1:33" ht="20.149999999999999" customHeight="1" thickBot="1" x14ac:dyDescent="0.4">
      <c r="A75" s="407"/>
      <c r="B75" s="412"/>
      <c r="C75" s="412"/>
      <c r="D75" s="70" t="s">
        <v>86</v>
      </c>
      <c r="E75" s="58">
        <f t="shared" ref="E75:R75" si="13">E67+E71</f>
        <v>0</v>
      </c>
      <c r="F75" s="59">
        <f t="shared" si="13"/>
        <v>0</v>
      </c>
      <c r="G75" s="59">
        <f t="shared" si="13"/>
        <v>0</v>
      </c>
      <c r="H75" s="59">
        <f t="shared" si="13"/>
        <v>0</v>
      </c>
      <c r="I75" s="59">
        <f t="shared" si="13"/>
        <v>0</v>
      </c>
      <c r="J75" s="59">
        <f t="shared" si="13"/>
        <v>0</v>
      </c>
      <c r="K75" s="60">
        <f t="shared" si="13"/>
        <v>0</v>
      </c>
      <c r="L75" s="58">
        <f t="shared" si="13"/>
        <v>0</v>
      </c>
      <c r="M75" s="59">
        <f t="shared" si="13"/>
        <v>0</v>
      </c>
      <c r="N75" s="59">
        <f t="shared" si="13"/>
        <v>0</v>
      </c>
      <c r="O75" s="59">
        <f t="shared" si="13"/>
        <v>0</v>
      </c>
      <c r="P75" s="59">
        <f t="shared" si="13"/>
        <v>0</v>
      </c>
      <c r="Q75" s="59">
        <f t="shared" si="13"/>
        <v>0</v>
      </c>
      <c r="R75" s="60">
        <f t="shared" si="13"/>
        <v>0</v>
      </c>
      <c r="S75" s="58">
        <f t="shared" si="10"/>
        <v>0</v>
      </c>
      <c r="T75" s="59">
        <f t="shared" si="10"/>
        <v>0</v>
      </c>
      <c r="U75" s="59">
        <f t="shared" si="10"/>
        <v>0</v>
      </c>
      <c r="V75" s="59">
        <f t="shared" si="10"/>
        <v>0</v>
      </c>
      <c r="W75" s="59">
        <f t="shared" si="10"/>
        <v>0</v>
      </c>
      <c r="X75" s="59">
        <f t="shared" si="10"/>
        <v>0</v>
      </c>
      <c r="Y75" s="61">
        <f t="shared" si="10"/>
        <v>0</v>
      </c>
      <c r="Z75" s="315">
        <f>SUM(S72:Y75)</f>
        <v>0</v>
      </c>
      <c r="AA75" s="23"/>
      <c r="AB75" s="23"/>
    </row>
    <row r="76" spans="1:33" ht="15" customHeight="1" x14ac:dyDescent="0.35">
      <c r="A76" s="4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AA76" s="23"/>
      <c r="AB76" s="23"/>
    </row>
    <row r="77" spans="1:33" ht="14.25" customHeight="1" x14ac:dyDescent="0.35">
      <c r="A77" s="4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AA77" s="23"/>
      <c r="AB77" s="23"/>
    </row>
    <row r="78" spans="1:33" ht="13.5" customHeight="1" thickBot="1" x14ac:dyDescent="0.4">
      <c r="A78" s="4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AA78" s="23"/>
    </row>
    <row r="79" spans="1:33" ht="15" customHeight="1" thickBot="1" x14ac:dyDescent="0.4">
      <c r="A79" s="416" t="s">
        <v>170</v>
      </c>
      <c r="B79" s="435" t="s">
        <v>110</v>
      </c>
      <c r="C79" s="435" t="s">
        <v>111</v>
      </c>
      <c r="D79" s="435" t="s">
        <v>67</v>
      </c>
      <c r="E79" s="430" t="s">
        <v>171</v>
      </c>
      <c r="F79" s="447"/>
      <c r="G79" s="447"/>
      <c r="H79" s="447"/>
      <c r="I79" s="447"/>
      <c r="J79" s="447"/>
      <c r="K79" s="448"/>
      <c r="L79" s="430" t="s">
        <v>172</v>
      </c>
      <c r="M79" s="447"/>
      <c r="N79" s="447"/>
      <c r="O79" s="447"/>
      <c r="P79" s="447"/>
      <c r="Q79" s="447"/>
      <c r="R79" s="448"/>
      <c r="S79" s="430" t="s">
        <v>13</v>
      </c>
      <c r="T79" s="431"/>
      <c r="U79" s="431"/>
      <c r="V79" s="431"/>
      <c r="W79" s="431"/>
      <c r="X79" s="431"/>
      <c r="Y79" s="432"/>
      <c r="AA79" s="438" t="s">
        <v>173</v>
      </c>
      <c r="AB79" s="439"/>
      <c r="AC79" s="440"/>
      <c r="AD79" s="441"/>
    </row>
    <row r="80" spans="1:33" ht="19" customHeight="1" thickBot="1" x14ac:dyDescent="0.4">
      <c r="A80" s="433"/>
      <c r="B80" s="436"/>
      <c r="C80" s="436"/>
      <c r="D80" s="436"/>
      <c r="E80" s="442" t="s">
        <v>118</v>
      </c>
      <c r="F80" s="443"/>
      <c r="G80" s="443"/>
      <c r="H80" s="443"/>
      <c r="I80" s="443"/>
      <c r="J80" s="443"/>
      <c r="K80" s="444"/>
      <c r="L80" s="442" t="s">
        <v>118</v>
      </c>
      <c r="M80" s="443"/>
      <c r="N80" s="443"/>
      <c r="O80" s="443"/>
      <c r="P80" s="443"/>
      <c r="Q80" s="443"/>
      <c r="R80" s="444"/>
      <c r="S80" s="442" t="s">
        <v>118</v>
      </c>
      <c r="T80" s="445"/>
      <c r="U80" s="445"/>
      <c r="V80" s="445"/>
      <c r="W80" s="445"/>
      <c r="X80" s="445"/>
      <c r="Y80" s="446"/>
      <c r="AA80" s="33" t="s">
        <v>11</v>
      </c>
      <c r="AB80" s="33">
        <f>SUM(S90:Y93)</f>
        <v>0</v>
      </c>
      <c r="AC80" s="33" t="s">
        <v>82</v>
      </c>
      <c r="AD80" s="34">
        <f>SUM(S103:Y106)</f>
        <v>0</v>
      </c>
    </row>
    <row r="81" spans="1:30" ht="60.75" customHeight="1" thickBot="1" x14ac:dyDescent="0.4">
      <c r="A81" s="434"/>
      <c r="B81" s="437"/>
      <c r="C81" s="437"/>
      <c r="D81" s="437"/>
      <c r="E81" s="75" t="s">
        <v>174</v>
      </c>
      <c r="F81" s="76" t="s">
        <v>122</v>
      </c>
      <c r="G81" s="76" t="s">
        <v>123</v>
      </c>
      <c r="H81" s="76" t="s">
        <v>124</v>
      </c>
      <c r="I81" s="76" t="s">
        <v>125</v>
      </c>
      <c r="J81" s="76" t="s">
        <v>128</v>
      </c>
      <c r="K81" s="77" t="s">
        <v>129</v>
      </c>
      <c r="L81" s="75" t="s">
        <v>174</v>
      </c>
      <c r="M81" s="76" t="s">
        <v>122</v>
      </c>
      <c r="N81" s="76" t="s">
        <v>123</v>
      </c>
      <c r="O81" s="76" t="s">
        <v>124</v>
      </c>
      <c r="P81" s="76" t="s">
        <v>125</v>
      </c>
      <c r="Q81" s="78" t="s">
        <v>128</v>
      </c>
      <c r="R81" s="79" t="s">
        <v>129</v>
      </c>
      <c r="S81" s="75" t="s">
        <v>174</v>
      </c>
      <c r="T81" s="76" t="s">
        <v>122</v>
      </c>
      <c r="U81" s="76" t="s">
        <v>123</v>
      </c>
      <c r="V81" s="76" t="s">
        <v>124</v>
      </c>
      <c r="W81" s="76" t="s">
        <v>125</v>
      </c>
      <c r="X81" s="76" t="s">
        <v>128</v>
      </c>
      <c r="Y81" s="80" t="s">
        <v>129</v>
      </c>
      <c r="AA81" s="81" t="s">
        <v>72</v>
      </c>
      <c r="AB81" s="81">
        <f>SUM(S90:Y91)</f>
        <v>0</v>
      </c>
      <c r="AC81" s="35" t="s">
        <v>119</v>
      </c>
      <c r="AD81" s="36">
        <f>SUM(S103:Y104)</f>
        <v>0</v>
      </c>
    </row>
    <row r="82" spans="1:30" ht="20.149999999999999" customHeight="1" x14ac:dyDescent="0.35">
      <c r="A82" s="421" t="s">
        <v>11</v>
      </c>
      <c r="B82" s="423" t="s">
        <v>18</v>
      </c>
      <c r="C82" s="426" t="s">
        <v>17</v>
      </c>
      <c r="D82" s="67" t="s">
        <v>85</v>
      </c>
      <c r="E82" s="297"/>
      <c r="F82" s="297"/>
      <c r="G82" s="297"/>
      <c r="H82" s="297"/>
      <c r="I82" s="297"/>
      <c r="J82" s="297"/>
      <c r="K82" s="297"/>
      <c r="L82" s="230"/>
      <c r="M82" s="230"/>
      <c r="N82" s="230"/>
      <c r="O82" s="230"/>
      <c r="P82" s="230"/>
      <c r="Q82" s="230"/>
      <c r="R82" s="232"/>
      <c r="S82" s="93">
        <f t="shared" ref="S82:Y89" si="14">E82+L82</f>
        <v>0</v>
      </c>
      <c r="T82" s="94">
        <f t="shared" si="14"/>
        <v>0</v>
      </c>
      <c r="U82" s="94">
        <f t="shared" si="14"/>
        <v>0</v>
      </c>
      <c r="V82" s="94">
        <f t="shared" si="14"/>
        <v>0</v>
      </c>
      <c r="W82" s="94">
        <f t="shared" si="14"/>
        <v>0</v>
      </c>
      <c r="X82" s="94">
        <f t="shared" si="14"/>
        <v>0</v>
      </c>
      <c r="Y82" s="95">
        <f t="shared" si="14"/>
        <v>0</v>
      </c>
      <c r="AA82" s="35" t="s">
        <v>76</v>
      </c>
      <c r="AB82" s="35">
        <f>SUM(S92:Y93)</f>
        <v>0</v>
      </c>
      <c r="AC82" s="35" t="s">
        <v>136</v>
      </c>
      <c r="AD82" s="36">
        <f>SUM(S105:Y106)</f>
        <v>0</v>
      </c>
    </row>
    <row r="83" spans="1:30" ht="20.149999999999999" customHeight="1" thickBot="1" x14ac:dyDescent="0.4">
      <c r="A83" s="421"/>
      <c r="B83" s="424"/>
      <c r="C83" s="425"/>
      <c r="D83" s="89" t="s">
        <v>86</v>
      </c>
      <c r="E83" s="298"/>
      <c r="F83" s="298"/>
      <c r="G83" s="298"/>
      <c r="H83" s="298"/>
      <c r="I83" s="298"/>
      <c r="J83" s="298"/>
      <c r="K83" s="298"/>
      <c r="L83" s="293"/>
      <c r="M83" s="293"/>
      <c r="N83" s="293"/>
      <c r="O83" s="293"/>
      <c r="P83" s="293"/>
      <c r="Q83" s="293"/>
      <c r="R83" s="294"/>
      <c r="S83" s="99">
        <f t="shared" si="14"/>
        <v>0</v>
      </c>
      <c r="T83" s="100">
        <f t="shared" si="14"/>
        <v>0</v>
      </c>
      <c r="U83" s="100">
        <f t="shared" si="14"/>
        <v>0</v>
      </c>
      <c r="V83" s="100">
        <f t="shared" si="14"/>
        <v>0</v>
      </c>
      <c r="W83" s="100">
        <f t="shared" si="14"/>
        <v>0</v>
      </c>
      <c r="X83" s="100">
        <f t="shared" si="14"/>
        <v>0</v>
      </c>
      <c r="Y83" s="102">
        <f t="shared" si="14"/>
        <v>0</v>
      </c>
      <c r="AA83" s="19" t="s">
        <v>144</v>
      </c>
      <c r="AB83" s="19">
        <f>SUM(S82:Y85)</f>
        <v>0</v>
      </c>
      <c r="AC83" s="19" t="s">
        <v>145</v>
      </c>
      <c r="AD83" s="55">
        <f>SUM(S95:Y98)</f>
        <v>0</v>
      </c>
    </row>
    <row r="84" spans="1:30" ht="20.149999999999999" customHeight="1" x14ac:dyDescent="0.35">
      <c r="A84" s="421"/>
      <c r="B84" s="424"/>
      <c r="C84" s="426" t="s">
        <v>20</v>
      </c>
      <c r="D84" s="299" t="s">
        <v>85</v>
      </c>
      <c r="E84" s="297"/>
      <c r="F84" s="297"/>
      <c r="G84" s="297"/>
      <c r="H84" s="297"/>
      <c r="I84" s="297"/>
      <c r="J84" s="297"/>
      <c r="K84" s="297"/>
      <c r="L84" s="230"/>
      <c r="M84" s="230"/>
      <c r="N84" s="230"/>
      <c r="O84" s="230"/>
      <c r="P84" s="230"/>
      <c r="Q84" s="230"/>
      <c r="R84" s="232"/>
      <c r="S84" s="93">
        <f t="shared" si="14"/>
        <v>0</v>
      </c>
      <c r="T84" s="94">
        <f t="shared" si="14"/>
        <v>0</v>
      </c>
      <c r="U84" s="94">
        <f t="shared" si="14"/>
        <v>0</v>
      </c>
      <c r="V84" s="94">
        <f t="shared" si="14"/>
        <v>0</v>
      </c>
      <c r="W84" s="94">
        <f t="shared" si="14"/>
        <v>0</v>
      </c>
      <c r="X84" s="94">
        <f t="shared" si="14"/>
        <v>0</v>
      </c>
      <c r="Y84" s="95">
        <f t="shared" si="14"/>
        <v>0</v>
      </c>
      <c r="AA84" s="19" t="s">
        <v>147</v>
      </c>
      <c r="AB84" s="19">
        <f>SUM(S86:Y89)</f>
        <v>0</v>
      </c>
      <c r="AC84" s="19" t="s">
        <v>148</v>
      </c>
      <c r="AD84" s="55">
        <f>SUM(S99:Y102)</f>
        <v>0</v>
      </c>
    </row>
    <row r="85" spans="1:30" ht="20.149999999999999" customHeight="1" thickBot="1" x14ac:dyDescent="0.4">
      <c r="A85" s="421"/>
      <c r="B85" s="425"/>
      <c r="C85" s="425"/>
      <c r="D85" s="89" t="s">
        <v>86</v>
      </c>
      <c r="E85" s="234"/>
      <c r="F85" s="234"/>
      <c r="G85" s="234"/>
      <c r="H85" s="234"/>
      <c r="I85" s="234"/>
      <c r="J85" s="234"/>
      <c r="K85" s="234"/>
      <c r="L85" s="296"/>
      <c r="M85" s="296"/>
      <c r="N85" s="296"/>
      <c r="O85" s="296"/>
      <c r="P85" s="296"/>
      <c r="Q85" s="296"/>
      <c r="R85" s="296"/>
      <c r="S85" s="99">
        <f t="shared" si="14"/>
        <v>0</v>
      </c>
      <c r="T85" s="100">
        <f t="shared" si="14"/>
        <v>0</v>
      </c>
      <c r="U85" s="100">
        <f t="shared" si="14"/>
        <v>0</v>
      </c>
      <c r="V85" s="100">
        <f t="shared" si="14"/>
        <v>0</v>
      </c>
      <c r="W85" s="100">
        <f t="shared" si="14"/>
        <v>0</v>
      </c>
      <c r="X85" s="100">
        <f t="shared" si="14"/>
        <v>0</v>
      </c>
      <c r="Y85" s="102">
        <f t="shared" si="14"/>
        <v>0</v>
      </c>
      <c r="AA85" s="19" t="s">
        <v>78</v>
      </c>
      <c r="AB85" s="19">
        <f>S90+T90+U90+V90+W90+X90+Y90+S92+T92+U92+V92+W92+X92+Y92</f>
        <v>0</v>
      </c>
      <c r="AC85" s="19" t="s">
        <v>93</v>
      </c>
      <c r="AD85" s="55">
        <f>S103+T103+U103+V103+W103+X103+Y103+S105+T105+U105+V105+W105+X105+Y105</f>
        <v>0</v>
      </c>
    </row>
    <row r="86" spans="1:30" ht="20.149999999999999" customHeight="1" x14ac:dyDescent="0.35">
      <c r="A86" s="421"/>
      <c r="B86" s="410" t="s">
        <v>21</v>
      </c>
      <c r="C86" s="426" t="s">
        <v>17</v>
      </c>
      <c r="D86" s="67" t="s">
        <v>85</v>
      </c>
      <c r="E86" s="297"/>
      <c r="F86" s="297"/>
      <c r="G86" s="297"/>
      <c r="H86" s="297"/>
      <c r="I86" s="297"/>
      <c r="J86" s="297"/>
      <c r="K86" s="297"/>
      <c r="L86" s="230"/>
      <c r="M86" s="230"/>
      <c r="N86" s="230"/>
      <c r="O86" s="230"/>
      <c r="P86" s="230"/>
      <c r="Q86" s="230"/>
      <c r="R86" s="232"/>
      <c r="S86" s="93">
        <f t="shared" si="14"/>
        <v>0</v>
      </c>
      <c r="T86" s="94">
        <f t="shared" si="14"/>
        <v>0</v>
      </c>
      <c r="U86" s="94">
        <f t="shared" si="14"/>
        <v>0</v>
      </c>
      <c r="V86" s="94">
        <f t="shared" si="14"/>
        <v>0</v>
      </c>
      <c r="W86" s="94">
        <f t="shared" si="14"/>
        <v>0</v>
      </c>
      <c r="X86" s="94">
        <f t="shared" si="14"/>
        <v>0</v>
      </c>
      <c r="Y86" s="95">
        <f t="shared" si="14"/>
        <v>0</v>
      </c>
      <c r="AA86" s="19" t="s">
        <v>80</v>
      </c>
      <c r="AB86" s="19">
        <f>S91+T91+U91+V91+W91+X91+Y91+S93+T93+U93+V93+W93+X93+Y93</f>
        <v>0</v>
      </c>
      <c r="AC86" s="19" t="s">
        <v>95</v>
      </c>
      <c r="AD86" s="55">
        <f>S104+T104+U104+V104+W104+X104+Y104+S106+T106+U106+V106+W106+X106+Y106</f>
        <v>0</v>
      </c>
    </row>
    <row r="87" spans="1:30" ht="20.149999999999999" customHeight="1" thickBot="1" x14ac:dyDescent="0.4">
      <c r="A87" s="421"/>
      <c r="B87" s="424"/>
      <c r="C87" s="425"/>
      <c r="D87" s="89" t="s">
        <v>86</v>
      </c>
      <c r="E87" s="298"/>
      <c r="F87" s="298"/>
      <c r="G87" s="298"/>
      <c r="H87" s="298"/>
      <c r="I87" s="298"/>
      <c r="J87" s="298"/>
      <c r="K87" s="298"/>
      <c r="L87" s="293"/>
      <c r="M87" s="293"/>
      <c r="N87" s="293"/>
      <c r="O87" s="293"/>
      <c r="P87" s="293"/>
      <c r="Q87" s="293"/>
      <c r="R87" s="294"/>
      <c r="S87" s="99">
        <f t="shared" si="14"/>
        <v>0</v>
      </c>
      <c r="T87" s="100">
        <f t="shared" si="14"/>
        <v>0</v>
      </c>
      <c r="U87" s="100">
        <f t="shared" si="14"/>
        <v>0</v>
      </c>
      <c r="V87" s="100">
        <f t="shared" si="14"/>
        <v>0</v>
      </c>
      <c r="W87" s="100">
        <f t="shared" si="14"/>
        <v>0</v>
      </c>
      <c r="X87" s="100">
        <f t="shared" si="14"/>
        <v>0</v>
      </c>
      <c r="Y87" s="102">
        <f t="shared" si="14"/>
        <v>0</v>
      </c>
      <c r="AA87" s="19" t="s">
        <v>175</v>
      </c>
      <c r="AB87" s="19">
        <f>SUM(S90:S93)</f>
        <v>0</v>
      </c>
      <c r="AC87" s="19" t="s">
        <v>175</v>
      </c>
      <c r="AD87" s="55">
        <f>SUM(S103:S106)</f>
        <v>0</v>
      </c>
    </row>
    <row r="88" spans="1:30" ht="20.149999999999999" customHeight="1" x14ac:dyDescent="0.35">
      <c r="A88" s="421"/>
      <c r="B88" s="424"/>
      <c r="C88" s="426" t="s">
        <v>20</v>
      </c>
      <c r="D88" s="67" t="s">
        <v>85</v>
      </c>
      <c r="E88" s="297"/>
      <c r="F88" s="297"/>
      <c r="G88" s="297"/>
      <c r="H88" s="297"/>
      <c r="I88" s="297"/>
      <c r="J88" s="297"/>
      <c r="K88" s="297"/>
      <c r="L88" s="230"/>
      <c r="M88" s="230"/>
      <c r="N88" s="230"/>
      <c r="O88" s="230"/>
      <c r="P88" s="230"/>
      <c r="Q88" s="230"/>
      <c r="R88" s="232"/>
      <c r="S88" s="93">
        <f t="shared" si="14"/>
        <v>0</v>
      </c>
      <c r="T88" s="94">
        <f t="shared" si="14"/>
        <v>0</v>
      </c>
      <c r="U88" s="94">
        <f t="shared" si="14"/>
        <v>0</v>
      </c>
      <c r="V88" s="94">
        <f t="shared" si="14"/>
        <v>0</v>
      </c>
      <c r="W88" s="94">
        <f t="shared" si="14"/>
        <v>0</v>
      </c>
      <c r="X88" s="94">
        <f t="shared" si="14"/>
        <v>0</v>
      </c>
      <c r="Y88" s="95">
        <f t="shared" si="14"/>
        <v>0</v>
      </c>
      <c r="AA88" s="19" t="s">
        <v>156</v>
      </c>
      <c r="AB88" s="19">
        <f>SUM(T90:T93)</f>
        <v>0</v>
      </c>
      <c r="AC88" s="19" t="s">
        <v>156</v>
      </c>
      <c r="AD88" s="55">
        <f>SUM(T103:T106)</f>
        <v>0</v>
      </c>
    </row>
    <row r="89" spans="1:30" ht="20.149999999999999" customHeight="1" thickBot="1" x14ac:dyDescent="0.4">
      <c r="A89" s="421"/>
      <c r="B89" s="425"/>
      <c r="C89" s="425"/>
      <c r="D89" s="89" t="s">
        <v>86</v>
      </c>
      <c r="E89" s="298"/>
      <c r="F89" s="298"/>
      <c r="G89" s="298"/>
      <c r="H89" s="298"/>
      <c r="I89" s="298"/>
      <c r="J89" s="298"/>
      <c r="K89" s="298"/>
      <c r="L89" s="296"/>
      <c r="M89" s="296"/>
      <c r="N89" s="296"/>
      <c r="O89" s="296"/>
      <c r="P89" s="296"/>
      <c r="Q89" s="296"/>
      <c r="R89" s="296"/>
      <c r="S89" s="99">
        <f t="shared" si="14"/>
        <v>0</v>
      </c>
      <c r="T89" s="100">
        <f t="shared" si="14"/>
        <v>0</v>
      </c>
      <c r="U89" s="100">
        <f t="shared" si="14"/>
        <v>0</v>
      </c>
      <c r="V89" s="100">
        <f t="shared" si="14"/>
        <v>0</v>
      </c>
      <c r="W89" s="100">
        <f t="shared" si="14"/>
        <v>0</v>
      </c>
      <c r="X89" s="100">
        <f t="shared" si="14"/>
        <v>0</v>
      </c>
      <c r="Y89" s="102">
        <f t="shared" si="14"/>
        <v>0</v>
      </c>
      <c r="Z89" s="4"/>
      <c r="AA89" s="19" t="s">
        <v>159</v>
      </c>
      <c r="AB89" s="19">
        <f>SUM(U90:U93)</f>
        <v>0</v>
      </c>
      <c r="AC89" s="19" t="s">
        <v>159</v>
      </c>
      <c r="AD89" s="55">
        <f>SUM(U103:U106)</f>
        <v>0</v>
      </c>
    </row>
    <row r="90" spans="1:30" ht="20.149999999999999" customHeight="1" x14ac:dyDescent="0.35">
      <c r="A90" s="421"/>
      <c r="B90" s="410" t="s">
        <v>13</v>
      </c>
      <c r="C90" s="426" t="s">
        <v>17</v>
      </c>
      <c r="D90" s="83" t="s">
        <v>85</v>
      </c>
      <c r="E90" s="93">
        <f t="shared" ref="E90:Y93" si="15">E82+E86</f>
        <v>0</v>
      </c>
      <c r="F90" s="94">
        <f t="shared" si="15"/>
        <v>0</v>
      </c>
      <c r="G90" s="94">
        <f t="shared" si="15"/>
        <v>0</v>
      </c>
      <c r="H90" s="94">
        <f t="shared" si="15"/>
        <v>0</v>
      </c>
      <c r="I90" s="94">
        <f t="shared" si="15"/>
        <v>0</v>
      </c>
      <c r="J90" s="94">
        <f t="shared" si="15"/>
        <v>0</v>
      </c>
      <c r="K90" s="96">
        <f t="shared" si="15"/>
        <v>0</v>
      </c>
      <c r="L90" s="93">
        <f t="shared" si="15"/>
        <v>0</v>
      </c>
      <c r="M90" s="94">
        <f t="shared" si="15"/>
        <v>0</v>
      </c>
      <c r="N90" s="94">
        <f t="shared" si="15"/>
        <v>0</v>
      </c>
      <c r="O90" s="94">
        <f t="shared" si="15"/>
        <v>0</v>
      </c>
      <c r="P90" s="94">
        <f t="shared" si="15"/>
        <v>0</v>
      </c>
      <c r="Q90" s="94">
        <f t="shared" si="15"/>
        <v>0</v>
      </c>
      <c r="R90" s="96">
        <f t="shared" si="15"/>
        <v>0</v>
      </c>
      <c r="S90" s="93">
        <f t="shared" si="15"/>
        <v>0</v>
      </c>
      <c r="T90" s="94">
        <f t="shared" si="15"/>
        <v>0</v>
      </c>
      <c r="U90" s="94">
        <f t="shared" si="15"/>
        <v>0</v>
      </c>
      <c r="V90" s="94">
        <f t="shared" si="15"/>
        <v>0</v>
      </c>
      <c r="W90" s="94">
        <f t="shared" si="15"/>
        <v>0</v>
      </c>
      <c r="X90" s="94">
        <f t="shared" si="15"/>
        <v>0</v>
      </c>
      <c r="Y90" s="95">
        <f t="shared" si="15"/>
        <v>0</v>
      </c>
      <c r="AA90" s="19" t="s">
        <v>162</v>
      </c>
      <c r="AB90" s="19">
        <f>SUM(V90:V93)</f>
        <v>0</v>
      </c>
      <c r="AC90" s="19" t="s">
        <v>162</v>
      </c>
      <c r="AD90" s="55">
        <f>SUM(V103:V106)</f>
        <v>0</v>
      </c>
    </row>
    <row r="91" spans="1:30" ht="20.149999999999999" customHeight="1" x14ac:dyDescent="0.35">
      <c r="A91" s="421"/>
      <c r="B91" s="424"/>
      <c r="C91" s="427"/>
      <c r="D91" s="88" t="s">
        <v>86</v>
      </c>
      <c r="E91" s="85">
        <f t="shared" si="15"/>
        <v>0</v>
      </c>
      <c r="F91" s="86">
        <f t="shared" si="15"/>
        <v>0</v>
      </c>
      <c r="G91" s="86">
        <f t="shared" si="15"/>
        <v>0</v>
      </c>
      <c r="H91" s="86">
        <f t="shared" si="15"/>
        <v>0</v>
      </c>
      <c r="I91" s="86">
        <f t="shared" si="15"/>
        <v>0</v>
      </c>
      <c r="J91" s="86">
        <f t="shared" si="15"/>
        <v>0</v>
      </c>
      <c r="K91" s="97">
        <f t="shared" si="15"/>
        <v>0</v>
      </c>
      <c r="L91" s="85">
        <f t="shared" si="15"/>
        <v>0</v>
      </c>
      <c r="M91" s="86">
        <f t="shared" si="15"/>
        <v>0</v>
      </c>
      <c r="N91" s="86">
        <f t="shared" si="15"/>
        <v>0</v>
      </c>
      <c r="O91" s="86">
        <f t="shared" si="15"/>
        <v>0</v>
      </c>
      <c r="P91" s="86">
        <f t="shared" si="15"/>
        <v>0</v>
      </c>
      <c r="Q91" s="86">
        <f t="shared" si="15"/>
        <v>0</v>
      </c>
      <c r="R91" s="97">
        <f t="shared" si="15"/>
        <v>0</v>
      </c>
      <c r="S91" s="85">
        <f t="shared" si="15"/>
        <v>0</v>
      </c>
      <c r="T91" s="86">
        <f t="shared" si="15"/>
        <v>0</v>
      </c>
      <c r="U91" s="86">
        <f t="shared" si="15"/>
        <v>0</v>
      </c>
      <c r="V91" s="86">
        <f t="shared" si="15"/>
        <v>0</v>
      </c>
      <c r="W91" s="86">
        <f t="shared" si="15"/>
        <v>0</v>
      </c>
      <c r="X91" s="86">
        <f t="shared" si="15"/>
        <v>0</v>
      </c>
      <c r="Y91" s="87">
        <f t="shared" si="15"/>
        <v>0</v>
      </c>
      <c r="AA91" s="19" t="s">
        <v>165</v>
      </c>
      <c r="AB91" s="19">
        <f>SUM(W90:W93)</f>
        <v>0</v>
      </c>
      <c r="AC91" s="19" t="s">
        <v>165</v>
      </c>
      <c r="AD91" s="55">
        <f>SUM(W103:W106)</f>
        <v>0</v>
      </c>
    </row>
    <row r="92" spans="1:30" ht="20.149999999999999" customHeight="1" x14ac:dyDescent="0.35">
      <c r="A92" s="421"/>
      <c r="B92" s="424"/>
      <c r="C92" s="428" t="s">
        <v>20</v>
      </c>
      <c r="D92" s="84" t="s">
        <v>85</v>
      </c>
      <c r="E92" s="85">
        <f t="shared" si="15"/>
        <v>0</v>
      </c>
      <c r="F92" s="86">
        <f t="shared" si="15"/>
        <v>0</v>
      </c>
      <c r="G92" s="86">
        <f t="shared" si="15"/>
        <v>0</v>
      </c>
      <c r="H92" s="86">
        <f t="shared" si="15"/>
        <v>0</v>
      </c>
      <c r="I92" s="86">
        <f t="shared" si="15"/>
        <v>0</v>
      </c>
      <c r="J92" s="86">
        <f t="shared" si="15"/>
        <v>0</v>
      </c>
      <c r="K92" s="97">
        <f t="shared" si="15"/>
        <v>0</v>
      </c>
      <c r="L92" s="85">
        <f t="shared" si="15"/>
        <v>0</v>
      </c>
      <c r="M92" s="86">
        <f t="shared" si="15"/>
        <v>0</v>
      </c>
      <c r="N92" s="86">
        <f t="shared" si="15"/>
        <v>0</v>
      </c>
      <c r="O92" s="86">
        <f t="shared" si="15"/>
        <v>0</v>
      </c>
      <c r="P92" s="86">
        <f t="shared" si="15"/>
        <v>0</v>
      </c>
      <c r="Q92" s="86">
        <f t="shared" si="15"/>
        <v>0</v>
      </c>
      <c r="R92" s="97">
        <f t="shared" si="15"/>
        <v>0</v>
      </c>
      <c r="S92" s="85">
        <f t="shared" si="15"/>
        <v>0</v>
      </c>
      <c r="T92" s="86">
        <f t="shared" si="15"/>
        <v>0</v>
      </c>
      <c r="U92" s="86">
        <f t="shared" si="15"/>
        <v>0</v>
      </c>
      <c r="V92" s="86">
        <f t="shared" si="15"/>
        <v>0</v>
      </c>
      <c r="W92" s="86">
        <f t="shared" si="15"/>
        <v>0</v>
      </c>
      <c r="X92" s="86">
        <f t="shared" si="15"/>
        <v>0</v>
      </c>
      <c r="Y92" s="87">
        <f t="shared" si="15"/>
        <v>0</v>
      </c>
      <c r="AA92" s="19" t="s">
        <v>167</v>
      </c>
      <c r="AB92" s="19">
        <f>SUM(X90:X93)</f>
        <v>0</v>
      </c>
      <c r="AC92" s="19" t="s">
        <v>167</v>
      </c>
      <c r="AD92" s="55">
        <f>SUM(X103:X106)</f>
        <v>0</v>
      </c>
    </row>
    <row r="93" spans="1:30" ht="20.149999999999999" customHeight="1" thickBot="1" x14ac:dyDescent="0.4">
      <c r="A93" s="422"/>
      <c r="B93" s="425"/>
      <c r="C93" s="425"/>
      <c r="D93" s="98" t="s">
        <v>86</v>
      </c>
      <c r="E93" s="99">
        <f t="shared" si="15"/>
        <v>0</v>
      </c>
      <c r="F93" s="100">
        <f t="shared" si="15"/>
        <v>0</v>
      </c>
      <c r="G93" s="100">
        <f t="shared" si="15"/>
        <v>0</v>
      </c>
      <c r="H93" s="100">
        <f t="shared" si="15"/>
        <v>0</v>
      </c>
      <c r="I93" s="100">
        <f t="shared" si="15"/>
        <v>0</v>
      </c>
      <c r="J93" s="100">
        <f t="shared" si="15"/>
        <v>0</v>
      </c>
      <c r="K93" s="101">
        <f t="shared" si="15"/>
        <v>0</v>
      </c>
      <c r="L93" s="99">
        <f t="shared" si="15"/>
        <v>0</v>
      </c>
      <c r="M93" s="100">
        <f t="shared" si="15"/>
        <v>0</v>
      </c>
      <c r="N93" s="100">
        <f t="shared" si="15"/>
        <v>0</v>
      </c>
      <c r="O93" s="100">
        <f t="shared" si="15"/>
        <v>0</v>
      </c>
      <c r="P93" s="100">
        <f t="shared" si="15"/>
        <v>0</v>
      </c>
      <c r="Q93" s="100">
        <f t="shared" si="15"/>
        <v>0</v>
      </c>
      <c r="R93" s="101">
        <f t="shared" si="15"/>
        <v>0</v>
      </c>
      <c r="S93" s="99">
        <f t="shared" si="15"/>
        <v>0</v>
      </c>
      <c r="T93" s="100">
        <f t="shared" si="15"/>
        <v>0</v>
      </c>
      <c r="U93" s="100">
        <f t="shared" si="15"/>
        <v>0</v>
      </c>
      <c r="V93" s="100">
        <f t="shared" si="15"/>
        <v>0</v>
      </c>
      <c r="W93" s="100">
        <f t="shared" si="15"/>
        <v>0</v>
      </c>
      <c r="X93" s="100">
        <f t="shared" si="15"/>
        <v>0</v>
      </c>
      <c r="Y93" s="102">
        <f t="shared" si="15"/>
        <v>0</v>
      </c>
      <c r="Z93" s="314">
        <f>SUM(S90:Y93)</f>
        <v>0</v>
      </c>
      <c r="AA93" s="22" t="s">
        <v>169</v>
      </c>
      <c r="AB93" s="22">
        <f>SUM(Y90:Y93)</f>
        <v>0</v>
      </c>
      <c r="AC93" s="22" t="s">
        <v>169</v>
      </c>
      <c r="AD93" s="69">
        <f>SUM(Y103:Y106)</f>
        <v>0</v>
      </c>
    </row>
    <row r="94" spans="1:30" ht="7.75" customHeight="1" thickBot="1" x14ac:dyDescent="0.4">
      <c r="A94" s="82"/>
      <c r="B94" s="103"/>
      <c r="C94" s="74"/>
      <c r="D94" s="104"/>
      <c r="E94" s="105"/>
      <c r="F94" s="106"/>
      <c r="G94" s="107"/>
      <c r="H94" s="107"/>
      <c r="I94" s="107"/>
      <c r="J94" s="107"/>
      <c r="K94" s="108"/>
      <c r="L94" s="109"/>
      <c r="M94" s="107"/>
      <c r="N94" s="107"/>
      <c r="O94" s="107"/>
      <c r="P94" s="108"/>
      <c r="Q94" s="107"/>
      <c r="R94" s="108"/>
      <c r="S94" s="110"/>
      <c r="T94" s="107"/>
      <c r="U94" s="106"/>
      <c r="V94" s="107"/>
      <c r="W94" s="107"/>
      <c r="X94" s="106"/>
      <c r="Y94" s="111"/>
    </row>
    <row r="95" spans="1:30" ht="20.149999999999999" customHeight="1" x14ac:dyDescent="0.35">
      <c r="A95" s="429" t="s">
        <v>82</v>
      </c>
      <c r="B95" s="410" t="s">
        <v>18</v>
      </c>
      <c r="C95" s="426" t="s">
        <v>17</v>
      </c>
      <c r="D95" s="67" t="s">
        <v>85</v>
      </c>
      <c r="E95" s="297"/>
      <c r="F95" s="297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93">
        <f t="shared" ref="S95:Y102" si="16">E95+L95</f>
        <v>0</v>
      </c>
      <c r="T95" s="94">
        <f t="shared" si="16"/>
        <v>0</v>
      </c>
      <c r="U95" s="94">
        <f t="shared" si="16"/>
        <v>0</v>
      </c>
      <c r="V95" s="94">
        <f t="shared" si="16"/>
        <v>0</v>
      </c>
      <c r="W95" s="94">
        <f t="shared" si="16"/>
        <v>0</v>
      </c>
      <c r="X95" s="94">
        <f t="shared" si="16"/>
        <v>0</v>
      </c>
      <c r="Y95" s="95">
        <f t="shared" si="16"/>
        <v>0</v>
      </c>
    </row>
    <row r="96" spans="1:30" ht="20.149999999999999" customHeight="1" thickBot="1" x14ac:dyDescent="0.4">
      <c r="A96" s="421"/>
      <c r="B96" s="424"/>
      <c r="C96" s="425"/>
      <c r="D96" s="89" t="s">
        <v>86</v>
      </c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99">
        <f t="shared" si="16"/>
        <v>0</v>
      </c>
      <c r="T96" s="100">
        <f t="shared" si="16"/>
        <v>0</v>
      </c>
      <c r="U96" s="100">
        <f t="shared" si="16"/>
        <v>0</v>
      </c>
      <c r="V96" s="100">
        <f t="shared" si="16"/>
        <v>0</v>
      </c>
      <c r="W96" s="100">
        <f t="shared" si="16"/>
        <v>0</v>
      </c>
      <c r="X96" s="100">
        <f t="shared" si="16"/>
        <v>0</v>
      </c>
      <c r="Y96" s="102">
        <f t="shared" si="16"/>
        <v>0</v>
      </c>
    </row>
    <row r="97" spans="1:28" ht="20.149999999999999" customHeight="1" x14ac:dyDescent="0.35">
      <c r="A97" s="421"/>
      <c r="B97" s="424"/>
      <c r="C97" s="426" t="s">
        <v>20</v>
      </c>
      <c r="D97" s="299" t="s">
        <v>85</v>
      </c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93">
        <f t="shared" si="16"/>
        <v>0</v>
      </c>
      <c r="T97" s="94">
        <f t="shared" si="16"/>
        <v>0</v>
      </c>
      <c r="U97" s="94">
        <f t="shared" si="16"/>
        <v>0</v>
      </c>
      <c r="V97" s="94">
        <f t="shared" si="16"/>
        <v>0</v>
      </c>
      <c r="W97" s="94">
        <f t="shared" si="16"/>
        <v>0</v>
      </c>
      <c r="X97" s="94">
        <f t="shared" si="16"/>
        <v>0</v>
      </c>
      <c r="Y97" s="95">
        <f t="shared" si="16"/>
        <v>0</v>
      </c>
    </row>
    <row r="98" spans="1:28" ht="20.149999999999999" customHeight="1" thickBot="1" x14ac:dyDescent="0.4">
      <c r="A98" s="421"/>
      <c r="B98" s="425"/>
      <c r="C98" s="425"/>
      <c r="D98" s="89" t="s">
        <v>86</v>
      </c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6"/>
      <c r="S98" s="99">
        <f t="shared" si="16"/>
        <v>0</v>
      </c>
      <c r="T98" s="100">
        <f t="shared" si="16"/>
        <v>0</v>
      </c>
      <c r="U98" s="100">
        <f t="shared" si="16"/>
        <v>0</v>
      </c>
      <c r="V98" s="100">
        <f t="shared" si="16"/>
        <v>0</v>
      </c>
      <c r="W98" s="100">
        <f t="shared" si="16"/>
        <v>0</v>
      </c>
      <c r="X98" s="100">
        <f t="shared" si="16"/>
        <v>0</v>
      </c>
      <c r="Y98" s="102">
        <f t="shared" si="16"/>
        <v>0</v>
      </c>
    </row>
    <row r="99" spans="1:28" ht="20.149999999999999" customHeight="1" x14ac:dyDescent="0.35">
      <c r="A99" s="421"/>
      <c r="B99" s="410" t="s">
        <v>21</v>
      </c>
      <c r="C99" s="426" t="s">
        <v>17</v>
      </c>
      <c r="D99" s="67" t="s">
        <v>85</v>
      </c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93">
        <f t="shared" si="16"/>
        <v>0</v>
      </c>
      <c r="T99" s="94">
        <f t="shared" si="16"/>
        <v>0</v>
      </c>
      <c r="U99" s="94">
        <f t="shared" si="16"/>
        <v>0</v>
      </c>
      <c r="V99" s="94">
        <f t="shared" si="16"/>
        <v>0</v>
      </c>
      <c r="W99" s="94">
        <f t="shared" si="16"/>
        <v>0</v>
      </c>
      <c r="X99" s="94">
        <f t="shared" si="16"/>
        <v>0</v>
      </c>
      <c r="Y99" s="95">
        <f t="shared" si="16"/>
        <v>0</v>
      </c>
    </row>
    <row r="100" spans="1:28" ht="20.149999999999999" customHeight="1" x14ac:dyDescent="0.35">
      <c r="A100" s="421"/>
      <c r="B100" s="424"/>
      <c r="C100" s="427"/>
      <c r="D100" s="84" t="s">
        <v>86</v>
      </c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85">
        <f t="shared" si="16"/>
        <v>0</v>
      </c>
      <c r="T100" s="86">
        <f t="shared" si="16"/>
        <v>0</v>
      </c>
      <c r="U100" s="86">
        <f t="shared" si="16"/>
        <v>0</v>
      </c>
      <c r="V100" s="86">
        <f t="shared" si="16"/>
        <v>0</v>
      </c>
      <c r="W100" s="86">
        <f t="shared" si="16"/>
        <v>0</v>
      </c>
      <c r="X100" s="86">
        <f t="shared" si="16"/>
        <v>0</v>
      </c>
      <c r="Y100" s="87">
        <f t="shared" si="16"/>
        <v>0</v>
      </c>
    </row>
    <row r="101" spans="1:28" ht="20.149999999999999" customHeight="1" x14ac:dyDescent="0.35">
      <c r="A101" s="421"/>
      <c r="B101" s="424"/>
      <c r="C101" s="428" t="s">
        <v>20</v>
      </c>
      <c r="D101" s="84" t="s">
        <v>85</v>
      </c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85">
        <f t="shared" si="16"/>
        <v>0</v>
      </c>
      <c r="T101" s="86">
        <f t="shared" si="16"/>
        <v>0</v>
      </c>
      <c r="U101" s="86">
        <f t="shared" si="16"/>
        <v>0</v>
      </c>
      <c r="V101" s="86">
        <f t="shared" si="16"/>
        <v>0</v>
      </c>
      <c r="W101" s="86">
        <f t="shared" si="16"/>
        <v>0</v>
      </c>
      <c r="X101" s="86">
        <f t="shared" si="16"/>
        <v>0</v>
      </c>
      <c r="Y101" s="87">
        <f t="shared" si="16"/>
        <v>0</v>
      </c>
    </row>
    <row r="102" spans="1:28" ht="20.149999999999999" customHeight="1" thickBot="1" x14ac:dyDescent="0.4">
      <c r="A102" s="421"/>
      <c r="B102" s="425"/>
      <c r="C102" s="425"/>
      <c r="D102" s="89" t="s">
        <v>86</v>
      </c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90">
        <f t="shared" si="16"/>
        <v>0</v>
      </c>
      <c r="T102" s="91">
        <f t="shared" si="16"/>
        <v>0</v>
      </c>
      <c r="U102" s="91">
        <f t="shared" si="16"/>
        <v>0</v>
      </c>
      <c r="V102" s="91">
        <f t="shared" si="16"/>
        <v>0</v>
      </c>
      <c r="W102" s="91">
        <f t="shared" si="16"/>
        <v>0</v>
      </c>
      <c r="X102" s="91">
        <f t="shared" si="16"/>
        <v>0</v>
      </c>
      <c r="Y102" s="92">
        <f t="shared" si="16"/>
        <v>0</v>
      </c>
    </row>
    <row r="103" spans="1:28" ht="20.149999999999999" customHeight="1" x14ac:dyDescent="0.35">
      <c r="A103" s="421"/>
      <c r="B103" s="410" t="s">
        <v>13</v>
      </c>
      <c r="C103" s="426" t="s">
        <v>17</v>
      </c>
      <c r="D103" s="83" t="s">
        <v>85</v>
      </c>
      <c r="E103" s="93">
        <f t="shared" ref="E103:Y106" si="17">E95+E99</f>
        <v>0</v>
      </c>
      <c r="F103" s="94">
        <f t="shared" si="17"/>
        <v>0</v>
      </c>
      <c r="G103" s="94">
        <f t="shared" si="17"/>
        <v>0</v>
      </c>
      <c r="H103" s="94">
        <f t="shared" si="17"/>
        <v>0</v>
      </c>
      <c r="I103" s="94">
        <f t="shared" si="17"/>
        <v>0</v>
      </c>
      <c r="J103" s="94">
        <f t="shared" si="17"/>
        <v>0</v>
      </c>
      <c r="K103" s="96">
        <f t="shared" si="17"/>
        <v>0</v>
      </c>
      <c r="L103" s="93">
        <f t="shared" si="17"/>
        <v>0</v>
      </c>
      <c r="M103" s="94">
        <f t="shared" si="17"/>
        <v>0</v>
      </c>
      <c r="N103" s="94">
        <f t="shared" si="17"/>
        <v>0</v>
      </c>
      <c r="O103" s="94">
        <f t="shared" si="17"/>
        <v>0</v>
      </c>
      <c r="P103" s="94">
        <f t="shared" si="17"/>
        <v>0</v>
      </c>
      <c r="Q103" s="94">
        <f t="shared" si="17"/>
        <v>0</v>
      </c>
      <c r="R103" s="96">
        <f t="shared" si="17"/>
        <v>0</v>
      </c>
      <c r="S103" s="93">
        <f t="shared" si="17"/>
        <v>0</v>
      </c>
      <c r="T103" s="94">
        <f t="shared" si="17"/>
        <v>0</v>
      </c>
      <c r="U103" s="94">
        <f t="shared" si="17"/>
        <v>0</v>
      </c>
      <c r="V103" s="94">
        <f t="shared" si="17"/>
        <v>0</v>
      </c>
      <c r="W103" s="94">
        <f t="shared" si="17"/>
        <v>0</v>
      </c>
      <c r="X103" s="94">
        <f t="shared" si="17"/>
        <v>0</v>
      </c>
      <c r="Y103" s="95">
        <f t="shared" si="17"/>
        <v>0</v>
      </c>
    </row>
    <row r="104" spans="1:28" ht="20.149999999999999" customHeight="1" x14ac:dyDescent="0.35">
      <c r="A104" s="421"/>
      <c r="B104" s="424"/>
      <c r="C104" s="427"/>
      <c r="D104" s="88" t="s">
        <v>86</v>
      </c>
      <c r="E104" s="85">
        <f t="shared" si="17"/>
        <v>0</v>
      </c>
      <c r="F104" s="86">
        <f t="shared" si="17"/>
        <v>0</v>
      </c>
      <c r="G104" s="86">
        <f t="shared" si="17"/>
        <v>0</v>
      </c>
      <c r="H104" s="86">
        <f t="shared" si="17"/>
        <v>0</v>
      </c>
      <c r="I104" s="86">
        <f t="shared" si="17"/>
        <v>0</v>
      </c>
      <c r="J104" s="86">
        <f t="shared" si="17"/>
        <v>0</v>
      </c>
      <c r="K104" s="97">
        <f t="shared" si="17"/>
        <v>0</v>
      </c>
      <c r="L104" s="85">
        <f t="shared" si="17"/>
        <v>0</v>
      </c>
      <c r="M104" s="86">
        <f t="shared" si="17"/>
        <v>0</v>
      </c>
      <c r="N104" s="86">
        <f t="shared" si="17"/>
        <v>0</v>
      </c>
      <c r="O104" s="86">
        <f t="shared" si="17"/>
        <v>0</v>
      </c>
      <c r="P104" s="86">
        <f t="shared" si="17"/>
        <v>0</v>
      </c>
      <c r="Q104" s="86">
        <f t="shared" si="17"/>
        <v>0</v>
      </c>
      <c r="R104" s="97">
        <f t="shared" si="17"/>
        <v>0</v>
      </c>
      <c r="S104" s="85">
        <f t="shared" si="17"/>
        <v>0</v>
      </c>
      <c r="T104" s="86">
        <f t="shared" si="17"/>
        <v>0</v>
      </c>
      <c r="U104" s="86">
        <f t="shared" si="17"/>
        <v>0</v>
      </c>
      <c r="V104" s="86">
        <f t="shared" si="17"/>
        <v>0</v>
      </c>
      <c r="W104" s="86">
        <f t="shared" si="17"/>
        <v>0</v>
      </c>
      <c r="X104" s="86">
        <f t="shared" si="17"/>
        <v>0</v>
      </c>
      <c r="Y104" s="87">
        <f t="shared" si="17"/>
        <v>0</v>
      </c>
    </row>
    <row r="105" spans="1:28" ht="20.149999999999999" customHeight="1" x14ac:dyDescent="0.35">
      <c r="A105" s="421"/>
      <c r="B105" s="424"/>
      <c r="C105" s="428" t="s">
        <v>20</v>
      </c>
      <c r="D105" s="84" t="s">
        <v>85</v>
      </c>
      <c r="E105" s="85">
        <f t="shared" si="17"/>
        <v>0</v>
      </c>
      <c r="F105" s="86">
        <f t="shared" si="17"/>
        <v>0</v>
      </c>
      <c r="G105" s="86">
        <f t="shared" si="17"/>
        <v>0</v>
      </c>
      <c r="H105" s="86">
        <f t="shared" si="17"/>
        <v>0</v>
      </c>
      <c r="I105" s="86">
        <f t="shared" si="17"/>
        <v>0</v>
      </c>
      <c r="J105" s="86">
        <f t="shared" si="17"/>
        <v>0</v>
      </c>
      <c r="K105" s="97">
        <f t="shared" si="17"/>
        <v>0</v>
      </c>
      <c r="L105" s="85">
        <f t="shared" si="17"/>
        <v>0</v>
      </c>
      <c r="M105" s="86">
        <f t="shared" si="17"/>
        <v>0</v>
      </c>
      <c r="N105" s="86">
        <f t="shared" si="17"/>
        <v>0</v>
      </c>
      <c r="O105" s="86">
        <f t="shared" si="17"/>
        <v>0</v>
      </c>
      <c r="P105" s="86">
        <f t="shared" si="17"/>
        <v>0</v>
      </c>
      <c r="Q105" s="86">
        <f t="shared" si="17"/>
        <v>0</v>
      </c>
      <c r="R105" s="97">
        <f t="shared" si="17"/>
        <v>0</v>
      </c>
      <c r="S105" s="85">
        <f t="shared" si="17"/>
        <v>0</v>
      </c>
      <c r="T105" s="86">
        <f t="shared" si="17"/>
        <v>0</v>
      </c>
      <c r="U105" s="86">
        <f t="shared" si="17"/>
        <v>0</v>
      </c>
      <c r="V105" s="86">
        <f t="shared" si="17"/>
        <v>0</v>
      </c>
      <c r="W105" s="86">
        <f t="shared" si="17"/>
        <v>0</v>
      </c>
      <c r="X105" s="86">
        <f t="shared" si="17"/>
        <v>0</v>
      </c>
      <c r="Y105" s="87">
        <f t="shared" si="17"/>
        <v>0</v>
      </c>
    </row>
    <row r="106" spans="1:28" ht="20.149999999999999" customHeight="1" thickBot="1" x14ac:dyDescent="0.4">
      <c r="A106" s="422"/>
      <c r="B106" s="425"/>
      <c r="C106" s="425"/>
      <c r="D106" s="98" t="s">
        <v>86</v>
      </c>
      <c r="E106" s="99">
        <f t="shared" si="17"/>
        <v>0</v>
      </c>
      <c r="F106" s="100">
        <f t="shared" si="17"/>
        <v>0</v>
      </c>
      <c r="G106" s="100">
        <f t="shared" si="17"/>
        <v>0</v>
      </c>
      <c r="H106" s="100">
        <f t="shared" si="17"/>
        <v>0</v>
      </c>
      <c r="I106" s="100">
        <f t="shared" si="17"/>
        <v>0</v>
      </c>
      <c r="J106" s="100">
        <f t="shared" si="17"/>
        <v>0</v>
      </c>
      <c r="K106" s="101">
        <f t="shared" si="17"/>
        <v>0</v>
      </c>
      <c r="L106" s="99">
        <f t="shared" si="17"/>
        <v>0</v>
      </c>
      <c r="M106" s="100">
        <f t="shared" si="17"/>
        <v>0</v>
      </c>
      <c r="N106" s="100">
        <f t="shared" si="17"/>
        <v>0</v>
      </c>
      <c r="O106" s="100">
        <f t="shared" si="17"/>
        <v>0</v>
      </c>
      <c r="P106" s="100">
        <f t="shared" si="17"/>
        <v>0</v>
      </c>
      <c r="Q106" s="100">
        <f t="shared" si="17"/>
        <v>0</v>
      </c>
      <c r="R106" s="101">
        <f t="shared" si="17"/>
        <v>0</v>
      </c>
      <c r="S106" s="99">
        <f t="shared" si="17"/>
        <v>0</v>
      </c>
      <c r="T106" s="100">
        <f t="shared" si="17"/>
        <v>0</v>
      </c>
      <c r="U106" s="100">
        <f t="shared" si="17"/>
        <v>0</v>
      </c>
      <c r="V106" s="100">
        <f t="shared" si="17"/>
        <v>0</v>
      </c>
      <c r="W106" s="100">
        <f t="shared" si="17"/>
        <v>0</v>
      </c>
      <c r="X106" s="100">
        <f t="shared" si="17"/>
        <v>0</v>
      </c>
      <c r="Y106" s="102">
        <f t="shared" si="17"/>
        <v>0</v>
      </c>
      <c r="Z106" s="315">
        <f>SUM(S103:Y106)</f>
        <v>0</v>
      </c>
    </row>
    <row r="107" spans="1:28" ht="17.25" customHeight="1" x14ac:dyDescent="0.35">
      <c r="A107" s="9"/>
      <c r="B107" s="14"/>
      <c r="C107" s="12"/>
      <c r="D107" s="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</row>
    <row r="108" spans="1:28" ht="18" customHeight="1" x14ac:dyDescent="0.35">
      <c r="A108" s="20"/>
      <c r="B108" s="14"/>
      <c r="C108" s="12"/>
      <c r="D108" s="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</row>
    <row r="109" spans="1:28" ht="15" customHeight="1" thickBot="1" x14ac:dyDescent="0.4">
      <c r="A109" s="4"/>
    </row>
    <row r="110" spans="1:28" ht="16" thickBot="1" x14ac:dyDescent="0.4">
      <c r="A110" s="416" t="s">
        <v>176</v>
      </c>
      <c r="B110" s="435" t="s">
        <v>177</v>
      </c>
      <c r="C110" s="435" t="s">
        <v>178</v>
      </c>
      <c r="D110" s="474" t="s">
        <v>179</v>
      </c>
      <c r="E110" s="475"/>
      <c r="F110" s="475"/>
      <c r="G110" s="475"/>
      <c r="H110" s="475"/>
      <c r="I110" s="475"/>
      <c r="J110" s="475"/>
      <c r="K110" s="475"/>
      <c r="L110" s="476"/>
      <c r="M110" s="113"/>
    </row>
    <row r="111" spans="1:28" ht="16" thickBot="1" x14ac:dyDescent="0.4">
      <c r="A111" s="417"/>
      <c r="B111" s="417"/>
      <c r="C111" s="417"/>
      <c r="D111" s="474" t="s">
        <v>17</v>
      </c>
      <c r="E111" s="515"/>
      <c r="F111" s="516"/>
      <c r="G111" s="474" t="s">
        <v>20</v>
      </c>
      <c r="H111" s="515"/>
      <c r="I111" s="516"/>
      <c r="J111" s="474" t="s">
        <v>22</v>
      </c>
      <c r="K111" s="475"/>
      <c r="L111" s="476"/>
      <c r="M111" s="113"/>
      <c r="N111" s="113"/>
      <c r="O111" s="113"/>
      <c r="AA111" s="438" t="s">
        <v>180</v>
      </c>
      <c r="AB111" s="460"/>
    </row>
    <row r="112" spans="1:28" ht="16" thickBot="1" x14ac:dyDescent="0.4">
      <c r="A112" s="417"/>
      <c r="B112" s="514"/>
      <c r="C112" s="514"/>
      <c r="D112" s="114" t="s">
        <v>181</v>
      </c>
      <c r="E112" s="115" t="s">
        <v>182</v>
      </c>
      <c r="F112" s="116" t="s">
        <v>13</v>
      </c>
      <c r="G112" s="114" t="s">
        <v>181</v>
      </c>
      <c r="H112" s="115" t="s">
        <v>182</v>
      </c>
      <c r="I112" s="117" t="s">
        <v>13</v>
      </c>
      <c r="J112" s="114" t="s">
        <v>181</v>
      </c>
      <c r="K112" s="118" t="s">
        <v>182</v>
      </c>
      <c r="L112" s="119" t="s">
        <v>13</v>
      </c>
      <c r="M112" s="113"/>
      <c r="N112" s="113"/>
      <c r="O112" s="113"/>
      <c r="AA112" s="33" t="s">
        <v>11</v>
      </c>
      <c r="AB112" s="33">
        <f>SUM(L121:L124)</f>
        <v>0</v>
      </c>
    </row>
    <row r="113" spans="1:33" ht="31.5" thickBot="1" x14ac:dyDescent="0.4">
      <c r="A113" s="417"/>
      <c r="B113" s="435" t="s">
        <v>183</v>
      </c>
      <c r="C113" s="120" t="s">
        <v>184</v>
      </c>
      <c r="D113" s="312"/>
      <c r="E113" s="312"/>
      <c r="F113" s="121">
        <f>D113+E113</f>
        <v>0</v>
      </c>
      <c r="G113" s="237"/>
      <c r="H113" s="237"/>
      <c r="I113" s="121">
        <f t="shared" ref="I113:I120" si="18">G113+H113</f>
        <v>0</v>
      </c>
      <c r="J113" s="238"/>
      <c r="K113" s="238"/>
      <c r="L113" s="122">
        <f>J113+K113</f>
        <v>0</v>
      </c>
      <c r="M113" s="12"/>
      <c r="N113" s="12"/>
      <c r="O113" s="12"/>
      <c r="AA113" s="19" t="s">
        <v>72</v>
      </c>
      <c r="AB113" s="19">
        <f>SUM(F121:F124)</f>
        <v>0</v>
      </c>
    </row>
    <row r="114" spans="1:33" ht="47" thickBot="1" x14ac:dyDescent="0.4">
      <c r="A114" s="417"/>
      <c r="B114" s="517"/>
      <c r="C114" s="123" t="s">
        <v>185</v>
      </c>
      <c r="D114" s="312"/>
      <c r="E114" s="312"/>
      <c r="F114" s="121">
        <f t="shared" ref="F114:F120" si="19">D114+E114</f>
        <v>0</v>
      </c>
      <c r="G114" s="237"/>
      <c r="H114" s="237"/>
      <c r="I114" s="121">
        <f t="shared" si="18"/>
        <v>0</v>
      </c>
      <c r="J114" s="238"/>
      <c r="K114" s="238"/>
      <c r="L114" s="122">
        <f t="shared" ref="L114:L124" si="20">J114+K114</f>
        <v>0</v>
      </c>
      <c r="M114" s="12"/>
      <c r="N114" s="12"/>
      <c r="O114" s="12"/>
      <c r="AA114" s="19" t="s">
        <v>76</v>
      </c>
      <c r="AB114" s="19">
        <f>SUM(I121:I124)</f>
        <v>0</v>
      </c>
    </row>
    <row r="115" spans="1:33" ht="31.5" thickBot="1" x14ac:dyDescent="0.4">
      <c r="A115" s="417"/>
      <c r="B115" s="517"/>
      <c r="C115" s="123" t="s">
        <v>186</v>
      </c>
      <c r="D115" s="312"/>
      <c r="E115" s="312"/>
      <c r="F115" s="121">
        <f t="shared" si="19"/>
        <v>0</v>
      </c>
      <c r="G115" s="237"/>
      <c r="H115" s="237"/>
      <c r="I115" s="121">
        <f t="shared" si="18"/>
        <v>0</v>
      </c>
      <c r="J115" s="238"/>
      <c r="K115" s="238"/>
      <c r="L115" s="122">
        <f t="shared" si="20"/>
        <v>0</v>
      </c>
      <c r="M115" s="12"/>
      <c r="N115" s="12"/>
      <c r="O115" s="12"/>
      <c r="AA115" s="19" t="s">
        <v>144</v>
      </c>
      <c r="AB115" s="19">
        <f>SUM(J121:J124)</f>
        <v>0</v>
      </c>
    </row>
    <row r="116" spans="1:33" ht="16" thickBot="1" x14ac:dyDescent="0.4">
      <c r="A116" s="417"/>
      <c r="B116" s="518"/>
      <c r="C116" s="124" t="s">
        <v>187</v>
      </c>
      <c r="D116" s="312"/>
      <c r="E116" s="312"/>
      <c r="F116" s="121">
        <f t="shared" si="19"/>
        <v>0</v>
      </c>
      <c r="G116" s="237"/>
      <c r="H116" s="237"/>
      <c r="I116" s="121">
        <f t="shared" si="18"/>
        <v>0</v>
      </c>
      <c r="J116" s="238"/>
      <c r="K116" s="238"/>
      <c r="L116" s="122">
        <f t="shared" si="20"/>
        <v>0</v>
      </c>
      <c r="M116" s="12"/>
      <c r="N116" s="12"/>
      <c r="O116" s="12"/>
      <c r="AA116" s="22" t="s">
        <v>147</v>
      </c>
      <c r="AB116" s="22">
        <f>SUM(K121:K124)</f>
        <v>0</v>
      </c>
    </row>
    <row r="117" spans="1:33" ht="31.5" thickBot="1" x14ac:dyDescent="0.4">
      <c r="A117" s="417"/>
      <c r="B117" s="435" t="s">
        <v>188</v>
      </c>
      <c r="C117" s="125" t="s">
        <v>184</v>
      </c>
      <c r="D117" s="312"/>
      <c r="E117" s="312"/>
      <c r="F117" s="121">
        <f t="shared" si="19"/>
        <v>0</v>
      </c>
      <c r="G117" s="237"/>
      <c r="H117" s="237"/>
      <c r="I117" s="121">
        <f t="shared" si="18"/>
        <v>0</v>
      </c>
      <c r="J117" s="238"/>
      <c r="K117" s="238"/>
      <c r="L117" s="122">
        <f t="shared" si="20"/>
        <v>0</v>
      </c>
      <c r="M117" s="12"/>
      <c r="N117" s="12"/>
      <c r="O117" s="12"/>
    </row>
    <row r="118" spans="1:33" ht="47" thickBot="1" x14ac:dyDescent="0.4">
      <c r="A118" s="417"/>
      <c r="B118" s="517"/>
      <c r="C118" s="123" t="s">
        <v>185</v>
      </c>
      <c r="D118" s="312"/>
      <c r="E118" s="312"/>
      <c r="F118" s="121">
        <f t="shared" si="19"/>
        <v>0</v>
      </c>
      <c r="G118" s="237"/>
      <c r="H118" s="237"/>
      <c r="I118" s="121">
        <f t="shared" si="18"/>
        <v>0</v>
      </c>
      <c r="J118" s="238"/>
      <c r="K118" s="238"/>
      <c r="L118" s="122">
        <f t="shared" si="20"/>
        <v>0</v>
      </c>
      <c r="M118" s="12"/>
      <c r="N118" s="12"/>
      <c r="O118" s="12"/>
    </row>
    <row r="119" spans="1:33" ht="31.5" thickBot="1" x14ac:dyDescent="0.4">
      <c r="A119" s="417"/>
      <c r="B119" s="517"/>
      <c r="C119" s="123" t="s">
        <v>186</v>
      </c>
      <c r="D119" s="312"/>
      <c r="E119" s="312"/>
      <c r="F119" s="121">
        <f t="shared" si="19"/>
        <v>0</v>
      </c>
      <c r="G119" s="237"/>
      <c r="H119" s="237"/>
      <c r="I119" s="121">
        <f t="shared" si="18"/>
        <v>0</v>
      </c>
      <c r="J119" s="238"/>
      <c r="K119" s="238"/>
      <c r="L119" s="122">
        <f t="shared" si="20"/>
        <v>0</v>
      </c>
      <c r="M119" s="12"/>
      <c r="N119" s="12"/>
      <c r="O119" s="12"/>
    </row>
    <row r="120" spans="1:33" ht="16" thickBot="1" x14ac:dyDescent="0.4">
      <c r="A120" s="417"/>
      <c r="B120" s="518"/>
      <c r="C120" s="124" t="s">
        <v>187</v>
      </c>
      <c r="D120" s="312"/>
      <c r="E120" s="312"/>
      <c r="F120" s="121">
        <f t="shared" si="19"/>
        <v>0</v>
      </c>
      <c r="G120" s="237"/>
      <c r="H120" s="237"/>
      <c r="I120" s="121">
        <f t="shared" si="18"/>
        <v>0</v>
      </c>
      <c r="J120" s="238"/>
      <c r="K120" s="238"/>
      <c r="L120" s="122">
        <f t="shared" si="20"/>
        <v>0</v>
      </c>
      <c r="M120" s="12"/>
      <c r="N120" s="12"/>
      <c r="O120" s="12"/>
    </row>
    <row r="121" spans="1:33" ht="31.5" thickBot="1" x14ac:dyDescent="0.4">
      <c r="A121" s="417"/>
      <c r="B121" s="435" t="s">
        <v>13</v>
      </c>
      <c r="C121" s="126" t="s">
        <v>184</v>
      </c>
      <c r="D121" s="122">
        <f t="shared" ref="D121:E124" si="21">D113+D117</f>
        <v>0</v>
      </c>
      <c r="E121" s="122">
        <f t="shared" si="21"/>
        <v>0</v>
      </c>
      <c r="F121" s="121">
        <f>SUM(D121:E121)</f>
        <v>0</v>
      </c>
      <c r="G121" s="122">
        <f t="shared" ref="G121:H124" si="22">G113+G117</f>
        <v>0</v>
      </c>
      <c r="H121" s="122">
        <f t="shared" si="22"/>
        <v>0</v>
      </c>
      <c r="I121" s="121">
        <f>SUM(G121:H121)</f>
        <v>0</v>
      </c>
      <c r="J121" s="122">
        <f t="shared" ref="J121:K123" si="23">SUM(D121+G121)</f>
        <v>0</v>
      </c>
      <c r="K121" s="122">
        <f t="shared" si="23"/>
        <v>0</v>
      </c>
      <c r="L121" s="122">
        <f t="shared" si="20"/>
        <v>0</v>
      </c>
      <c r="M121" s="112"/>
      <c r="N121" s="112"/>
      <c r="O121" s="112"/>
    </row>
    <row r="122" spans="1:33" ht="47" thickBot="1" x14ac:dyDescent="0.4">
      <c r="A122" s="417"/>
      <c r="B122" s="452"/>
      <c r="C122" s="127" t="s">
        <v>185</v>
      </c>
      <c r="D122" s="122">
        <f t="shared" si="21"/>
        <v>0</v>
      </c>
      <c r="E122" s="122">
        <f t="shared" si="21"/>
        <v>0</v>
      </c>
      <c r="F122" s="121">
        <f>SUM(D122:E122)</f>
        <v>0</v>
      </c>
      <c r="G122" s="122">
        <f t="shared" si="22"/>
        <v>0</v>
      </c>
      <c r="H122" s="122">
        <f t="shared" si="22"/>
        <v>0</v>
      </c>
      <c r="I122" s="121">
        <f>SUM(G122:H122)</f>
        <v>0</v>
      </c>
      <c r="J122" s="122">
        <f t="shared" si="23"/>
        <v>0</v>
      </c>
      <c r="K122" s="122">
        <f t="shared" si="23"/>
        <v>0</v>
      </c>
      <c r="L122" s="122">
        <f t="shared" si="20"/>
        <v>0</v>
      </c>
      <c r="M122" s="112"/>
      <c r="N122" s="112"/>
      <c r="O122" s="112"/>
    </row>
    <row r="123" spans="1:33" ht="31.5" thickBot="1" x14ac:dyDescent="0.4">
      <c r="A123" s="417"/>
      <c r="B123" s="452"/>
      <c r="C123" s="127" t="s">
        <v>186</v>
      </c>
      <c r="D123" s="122">
        <f t="shared" si="21"/>
        <v>0</v>
      </c>
      <c r="E123" s="122">
        <f t="shared" si="21"/>
        <v>0</v>
      </c>
      <c r="F123" s="121">
        <f>SUM(D123:E123)</f>
        <v>0</v>
      </c>
      <c r="G123" s="122">
        <f t="shared" si="22"/>
        <v>0</v>
      </c>
      <c r="H123" s="122">
        <f t="shared" si="22"/>
        <v>0</v>
      </c>
      <c r="I123" s="121">
        <f>SUM(G123:H123)</f>
        <v>0</v>
      </c>
      <c r="J123" s="122">
        <f t="shared" si="23"/>
        <v>0</v>
      </c>
      <c r="K123" s="122">
        <f t="shared" si="23"/>
        <v>0</v>
      </c>
      <c r="L123" s="122">
        <f t="shared" si="20"/>
        <v>0</v>
      </c>
      <c r="M123" s="112"/>
      <c r="N123" s="112"/>
      <c r="O123" s="112"/>
    </row>
    <row r="124" spans="1:33" ht="16" thickBot="1" x14ac:dyDescent="0.4">
      <c r="A124" s="514"/>
      <c r="B124" s="453"/>
      <c r="C124" s="128" t="s">
        <v>187</v>
      </c>
      <c r="D124" s="122">
        <f t="shared" si="21"/>
        <v>0</v>
      </c>
      <c r="E124" s="122">
        <f t="shared" si="21"/>
        <v>0</v>
      </c>
      <c r="F124" s="121">
        <f>SUM(D124:E124)</f>
        <v>0</v>
      </c>
      <c r="G124" s="122">
        <f t="shared" si="22"/>
        <v>0</v>
      </c>
      <c r="H124" s="122">
        <f t="shared" si="22"/>
        <v>0</v>
      </c>
      <c r="I124" s="121">
        <f>SUM(G124:H124)</f>
        <v>0</v>
      </c>
      <c r="J124" s="122">
        <f t="shared" ref="J124:K124" si="24">J116+J120</f>
        <v>0</v>
      </c>
      <c r="K124" s="122">
        <f t="shared" si="24"/>
        <v>0</v>
      </c>
      <c r="L124" s="122">
        <f t="shared" si="20"/>
        <v>0</v>
      </c>
      <c r="M124" s="112"/>
      <c r="N124" s="112"/>
      <c r="O124" s="112"/>
    </row>
    <row r="125" spans="1:33" ht="15.5" x14ac:dyDescent="0.35">
      <c r="A125" s="129" t="s">
        <v>189</v>
      </c>
      <c r="D125" s="5"/>
      <c r="E125" s="5"/>
      <c r="L125" s="314">
        <f>SUM(L121:L124)</f>
        <v>0</v>
      </c>
    </row>
    <row r="126" spans="1:33" ht="31.5" customHeight="1" x14ac:dyDescent="0.35">
      <c r="A126" s="4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33" ht="12" customHeight="1" thickBot="1" x14ac:dyDescent="0.4">
      <c r="A127" s="31"/>
      <c r="B127" s="31"/>
      <c r="C127" s="20"/>
      <c r="D127" s="20"/>
      <c r="E127" s="20"/>
      <c r="F127" s="20"/>
      <c r="G127" s="20"/>
      <c r="H127" s="20"/>
      <c r="AF127" s="14"/>
      <c r="AG127" s="15"/>
    </row>
    <row r="128" spans="1:33" ht="35.5" customHeight="1" thickBot="1" x14ac:dyDescent="0.4">
      <c r="A128" s="519" t="s">
        <v>190</v>
      </c>
      <c r="B128" s="522" t="s">
        <v>191</v>
      </c>
      <c r="C128" s="525" t="s">
        <v>68</v>
      </c>
      <c r="D128" s="526"/>
      <c r="E128" s="526"/>
      <c r="F128" s="526"/>
      <c r="G128" s="527"/>
      <c r="AA128" s="506" t="s">
        <v>192</v>
      </c>
      <c r="AB128" s="441"/>
      <c r="AF128" s="14"/>
      <c r="AG128" s="15"/>
    </row>
    <row r="129" spans="1:33" ht="19.5" customHeight="1" x14ac:dyDescent="0.35">
      <c r="A129" s="520"/>
      <c r="B129" s="523"/>
      <c r="C129" s="507" t="s">
        <v>11</v>
      </c>
      <c r="D129" s="508"/>
      <c r="E129" s="429" t="s">
        <v>74</v>
      </c>
      <c r="F129" s="429" t="s">
        <v>75</v>
      </c>
      <c r="G129" s="429" t="s">
        <v>13</v>
      </c>
      <c r="I129" s="509" t="str">
        <f>IF(I143&lt;&gt;3,"Errors:","")</f>
        <v/>
      </c>
      <c r="AA129" s="130" t="s">
        <v>11</v>
      </c>
      <c r="AB129" s="131">
        <f>C142+D142</f>
        <v>0</v>
      </c>
      <c r="AF129" s="14"/>
      <c r="AG129" s="15"/>
    </row>
    <row r="130" spans="1:33" ht="12" customHeight="1" x14ac:dyDescent="0.35">
      <c r="A130" s="520"/>
      <c r="B130" s="523"/>
      <c r="C130" s="510" t="s">
        <v>17</v>
      </c>
      <c r="D130" s="512" t="s">
        <v>20</v>
      </c>
      <c r="E130" s="406"/>
      <c r="F130" s="406"/>
      <c r="G130" s="406"/>
      <c r="I130" s="509"/>
      <c r="AA130" s="132" t="s">
        <v>72</v>
      </c>
      <c r="AB130" s="133">
        <f>C142</f>
        <v>0</v>
      </c>
      <c r="AF130" s="14"/>
      <c r="AG130" s="15"/>
    </row>
    <row r="131" spans="1:33" ht="12" customHeight="1" x14ac:dyDescent="0.35">
      <c r="A131" s="520"/>
      <c r="B131" s="523"/>
      <c r="C131" s="511"/>
      <c r="D131" s="513"/>
      <c r="E131" s="406"/>
      <c r="F131" s="406"/>
      <c r="G131" s="406"/>
      <c r="I131" s="509"/>
      <c r="AA131" s="132" t="s">
        <v>76</v>
      </c>
      <c r="AB131" s="133">
        <f>D142</f>
        <v>0</v>
      </c>
      <c r="AF131" s="14"/>
      <c r="AG131" s="15"/>
    </row>
    <row r="132" spans="1:33" ht="12" customHeight="1" thickBot="1" x14ac:dyDescent="0.4">
      <c r="A132" s="520"/>
      <c r="B132" s="524"/>
      <c r="C132" s="511"/>
      <c r="D132" s="513"/>
      <c r="E132" s="406"/>
      <c r="F132" s="406"/>
      <c r="G132" s="406"/>
      <c r="I132" s="509"/>
      <c r="AA132" s="132" t="s">
        <v>82</v>
      </c>
      <c r="AB132" s="133">
        <f>E143</f>
        <v>0</v>
      </c>
      <c r="AF132" s="14"/>
      <c r="AG132" s="15"/>
    </row>
    <row r="133" spans="1:33" ht="35.15" customHeight="1" thickBot="1" x14ac:dyDescent="0.4">
      <c r="A133" s="520"/>
      <c r="B133" s="134" t="s">
        <v>193</v>
      </c>
      <c r="C133" s="239"/>
      <c r="D133" s="239"/>
      <c r="E133" s="239"/>
      <c r="F133" s="239"/>
      <c r="G133" s="135">
        <f>C133+D133+E133+F133</f>
        <v>0</v>
      </c>
      <c r="AA133" s="132" t="s">
        <v>194</v>
      </c>
      <c r="AB133" s="133">
        <f>E142</f>
        <v>0</v>
      </c>
      <c r="AF133" s="14"/>
      <c r="AG133" s="15"/>
    </row>
    <row r="134" spans="1:33" ht="35.15" customHeight="1" thickBot="1" x14ac:dyDescent="0.4">
      <c r="A134" s="520"/>
      <c r="B134" s="134" t="s">
        <v>195</v>
      </c>
      <c r="C134" s="239"/>
      <c r="D134" s="239"/>
      <c r="E134" s="239"/>
      <c r="F134" s="239"/>
      <c r="G134" s="135">
        <f t="shared" ref="G134:G141" si="25">C134+D134+E134+F134</f>
        <v>0</v>
      </c>
      <c r="AA134" s="132" t="s">
        <v>75</v>
      </c>
      <c r="AB134" s="133">
        <f>F142</f>
        <v>0</v>
      </c>
      <c r="AF134" s="14"/>
      <c r="AG134" s="15"/>
    </row>
    <row r="135" spans="1:33" ht="35.15" customHeight="1" thickBot="1" x14ac:dyDescent="0.4">
      <c r="A135" s="520"/>
      <c r="B135" s="134" t="s">
        <v>196</v>
      </c>
      <c r="C135" s="240"/>
      <c r="D135" s="240"/>
      <c r="E135" s="240"/>
      <c r="F135" s="240"/>
      <c r="G135" s="136">
        <f t="shared" si="25"/>
        <v>0</v>
      </c>
      <c r="AA135" s="137" t="s">
        <v>13</v>
      </c>
      <c r="AB135" s="138">
        <f>G142</f>
        <v>0</v>
      </c>
      <c r="AF135" s="14"/>
      <c r="AG135" s="15"/>
    </row>
    <row r="136" spans="1:33" ht="35.15" customHeight="1" thickBot="1" x14ac:dyDescent="0.4">
      <c r="A136" s="520"/>
      <c r="B136" s="134" t="s">
        <v>197</v>
      </c>
      <c r="C136" s="239"/>
      <c r="D136" s="239"/>
      <c r="E136" s="239"/>
      <c r="F136" s="239"/>
      <c r="G136" s="135">
        <f t="shared" si="25"/>
        <v>0</v>
      </c>
      <c r="AF136" s="14"/>
      <c r="AG136" s="15"/>
    </row>
    <row r="137" spans="1:33" ht="35.15" customHeight="1" thickBot="1" x14ac:dyDescent="0.4">
      <c r="A137" s="520"/>
      <c r="B137" s="134" t="s">
        <v>198</v>
      </c>
      <c r="C137" s="239"/>
      <c r="D137" s="239"/>
      <c r="E137" s="239"/>
      <c r="F137" s="239"/>
      <c r="G137" s="135">
        <f t="shared" si="25"/>
        <v>0</v>
      </c>
      <c r="AF137" s="14"/>
      <c r="AG137" s="15"/>
    </row>
    <row r="138" spans="1:33" ht="35.15" customHeight="1" thickBot="1" x14ac:dyDescent="0.4">
      <c r="A138" s="520"/>
      <c r="B138" s="139" t="s">
        <v>199</v>
      </c>
      <c r="C138" s="240"/>
      <c r="D138" s="240"/>
      <c r="E138" s="240"/>
      <c r="F138" s="239"/>
      <c r="G138" s="136">
        <f t="shared" si="25"/>
        <v>0</v>
      </c>
      <c r="AF138" s="14"/>
      <c r="AG138" s="15"/>
    </row>
    <row r="139" spans="1:33" ht="35.15" customHeight="1" thickBot="1" x14ac:dyDescent="0.4">
      <c r="A139" s="520"/>
      <c r="B139" s="140" t="s">
        <v>200</v>
      </c>
      <c r="C139" s="241"/>
      <c r="D139" s="241"/>
      <c r="E139" s="240"/>
      <c r="F139" s="239"/>
      <c r="G139" s="136">
        <f t="shared" si="25"/>
        <v>0</v>
      </c>
      <c r="AA139" s="23"/>
      <c r="AF139" s="14"/>
      <c r="AG139" s="15"/>
    </row>
    <row r="140" spans="1:33" ht="35.15" customHeight="1" thickBot="1" x14ac:dyDescent="0.4">
      <c r="A140" s="520"/>
      <c r="B140" s="140" t="s">
        <v>201</v>
      </c>
      <c r="C140" s="241"/>
      <c r="D140" s="240"/>
      <c r="E140" s="240"/>
      <c r="F140" s="239"/>
      <c r="G140" s="136">
        <f t="shared" si="25"/>
        <v>0</v>
      </c>
      <c r="AA140" s="23"/>
      <c r="AF140" s="14"/>
      <c r="AG140" s="15"/>
    </row>
    <row r="141" spans="1:33" ht="35.15" customHeight="1" thickBot="1" x14ac:dyDescent="0.4">
      <c r="A141" s="520"/>
      <c r="B141" s="140" t="s">
        <v>202</v>
      </c>
      <c r="C141" s="241"/>
      <c r="D141" s="240"/>
      <c r="E141" s="240"/>
      <c r="F141" s="239"/>
      <c r="G141" s="136">
        <f t="shared" si="25"/>
        <v>0</v>
      </c>
      <c r="AA141" s="23"/>
      <c r="AF141" s="14"/>
      <c r="AG141" s="15"/>
    </row>
    <row r="142" spans="1:33" ht="35.15" customHeight="1" thickBot="1" x14ac:dyDescent="0.4">
      <c r="A142" s="521"/>
      <c r="B142" s="141" t="s">
        <v>13</v>
      </c>
      <c r="C142" s="142">
        <f>SUM(C133:C141)</f>
        <v>0</v>
      </c>
      <c r="D142" s="143">
        <f>SUM(D133:D141)</f>
        <v>0</v>
      </c>
      <c r="E142" s="144">
        <f>SUM(E133:E141)</f>
        <v>0</v>
      </c>
      <c r="F142" s="144">
        <f>SUM(F133:F141)</f>
        <v>0</v>
      </c>
      <c r="G142" s="143">
        <f>SUM(C142:F142)</f>
        <v>0</v>
      </c>
      <c r="AA142" s="23"/>
      <c r="AF142" s="14"/>
      <c r="AG142" s="15"/>
    </row>
    <row r="143" spans="1:33" ht="16" thickBot="1" x14ac:dyDescent="0.4">
      <c r="A143" s="10"/>
      <c r="B143" s="145"/>
      <c r="C143" s="549">
        <f>SUM(C142+D142)</f>
        <v>0</v>
      </c>
      <c r="D143" s="549"/>
      <c r="E143" s="533">
        <f>E142+F142</f>
        <v>0</v>
      </c>
      <c r="F143" s="534"/>
      <c r="G143" s="146"/>
      <c r="H143" s="12"/>
      <c r="I143" s="147">
        <f>COUNTIF(I133:I135,"")</f>
        <v>3</v>
      </c>
      <c r="J143" s="12"/>
      <c r="K143" s="12"/>
      <c r="L143" s="12"/>
      <c r="M143" s="12"/>
      <c r="N143" s="12"/>
      <c r="O143" s="12"/>
      <c r="P143" s="12"/>
      <c r="Q143" s="12"/>
    </row>
    <row r="144" spans="1:33" ht="15.5" x14ac:dyDescent="0.35">
      <c r="A144" s="4"/>
    </row>
    <row r="145" spans="1:11" ht="15.5" x14ac:dyDescent="0.35">
      <c r="A145" s="4"/>
      <c r="G145" s="4">
        <f>G146</f>
        <v>0</v>
      </c>
      <c r="K145" s="4">
        <f>LARGE(H149:H189,2)</f>
        <v>0</v>
      </c>
    </row>
    <row r="146" spans="1:11" ht="16" thickBot="1" x14ac:dyDescent="0.4">
      <c r="A146" s="4"/>
      <c r="G146" s="4">
        <f>COUNTIF(G149:G189,1)</f>
        <v>0</v>
      </c>
      <c r="K146" s="4">
        <f>MAX(H149:H189)</f>
        <v>0</v>
      </c>
    </row>
    <row r="147" spans="1:11" ht="15.5" hidden="1" x14ac:dyDescent="0.35">
      <c r="A147" s="4"/>
    </row>
    <row r="148" spans="1:11" ht="16" hidden="1" thickBot="1" x14ac:dyDescent="0.4">
      <c r="A148" s="4"/>
      <c r="H148" s="148" t="s">
        <v>23</v>
      </c>
    </row>
    <row r="149" spans="1:11" ht="15.5" hidden="1" x14ac:dyDescent="0.35">
      <c r="A149" s="528" t="s">
        <v>203</v>
      </c>
      <c r="B149" s="537" t="s">
        <v>17</v>
      </c>
      <c r="C149" s="151" t="s">
        <v>61</v>
      </c>
      <c r="D149" s="152">
        <f>IF(AB18=AB49,0,1)</f>
        <v>0</v>
      </c>
      <c r="E149" s="152" t="str">
        <f>IF(AB18=AB49," ","ERROR: Permanent teaching staff headcount in table 1 and table 2 do not match.  Check D31 to D32 and S47 to Y48.")</f>
        <v xml:space="preserve"> </v>
      </c>
      <c r="G149" s="4" t="str">
        <f>IF(H149=0," ",1)</f>
        <v xml:space="preserve"> </v>
      </c>
      <c r="H149" s="4">
        <f>IF(AB18=AB49,0,1)</f>
        <v>0</v>
      </c>
      <c r="I149" s="4">
        <v>1</v>
      </c>
      <c r="J149" s="4" t="s">
        <v>204</v>
      </c>
    </row>
    <row r="150" spans="1:11" ht="15.5" hidden="1" x14ac:dyDescent="0.25">
      <c r="A150" s="535"/>
      <c r="B150" s="538"/>
      <c r="C150" s="153" t="s">
        <v>205</v>
      </c>
      <c r="D150" s="154">
        <f>IF(AB49=AB81,0,1)</f>
        <v>0</v>
      </c>
      <c r="E150" s="154" t="str">
        <f>IF(AB49=AB81," ","ERROR: Permanent teaching staff headcount in table 2 and table 3 do not match.  Check S59 to Y60 and S90 to Y91.")</f>
        <v xml:space="preserve"> </v>
      </c>
      <c r="F150" s="155"/>
      <c r="G150" s="4" t="str">
        <f>IF(H150=0," ",1)</f>
        <v xml:space="preserve"> </v>
      </c>
      <c r="H150" s="4">
        <f>IF(AB49=AB81,0,2)</f>
        <v>0</v>
      </c>
      <c r="I150" s="4">
        <v>2</v>
      </c>
      <c r="J150" s="4" t="s">
        <v>206</v>
      </c>
    </row>
    <row r="151" spans="1:11" ht="16" hidden="1" thickBot="1" x14ac:dyDescent="0.3">
      <c r="A151" s="535"/>
      <c r="B151" s="539"/>
      <c r="C151" s="156" t="s">
        <v>207</v>
      </c>
      <c r="D151" s="157">
        <f>IF(AB81=AB113,0,1)</f>
        <v>0</v>
      </c>
      <c r="E151" s="157" t="str">
        <f>IF(AB81=AB113," ","ERROR: Permanent teaching staff headcount in table 3 and table 4 do not match.  Check S78 to Y79 and F109 to F112.")</f>
        <v xml:space="preserve"> </v>
      </c>
      <c r="F151" s="155"/>
      <c r="G151" s="4" t="str">
        <f t="shared" ref="G151:G185" si="26">IF(H151=0," ",1)</f>
        <v xml:space="preserve"> </v>
      </c>
      <c r="H151" s="4">
        <f>IF(AB81=AB113,0,3)</f>
        <v>0</v>
      </c>
      <c r="I151" s="4">
        <v>3</v>
      </c>
      <c r="J151" s="4" t="s">
        <v>208</v>
      </c>
    </row>
    <row r="152" spans="1:11" ht="15.5" hidden="1" x14ac:dyDescent="0.25">
      <c r="A152" s="535"/>
      <c r="B152" s="540" t="s">
        <v>20</v>
      </c>
      <c r="C152" s="158" t="s">
        <v>61</v>
      </c>
      <c r="D152" s="159">
        <f>IF(AB19=AB52,0,1)</f>
        <v>0</v>
      </c>
      <c r="E152" s="152" t="str">
        <f>IF(AB19=AB52," ","ERROR: Temporary teaching staff headcount in table 1 and table 2 do not match.  Check E31 to E32 and S49 to Y50.")</f>
        <v xml:space="preserve"> </v>
      </c>
      <c r="F152" s="155"/>
      <c r="G152" s="4" t="str">
        <f t="shared" si="26"/>
        <v xml:space="preserve"> </v>
      </c>
      <c r="H152" s="4">
        <f>IF(AB19=AB52,0,4)</f>
        <v>0</v>
      </c>
      <c r="I152" s="4">
        <v>4</v>
      </c>
      <c r="J152" s="4" t="s">
        <v>209</v>
      </c>
    </row>
    <row r="153" spans="1:11" ht="15.5" hidden="1" x14ac:dyDescent="0.25">
      <c r="A153" s="535"/>
      <c r="B153" s="541"/>
      <c r="C153" s="160" t="s">
        <v>205</v>
      </c>
      <c r="D153" s="159">
        <f>IF(AB52=AB82,0,1)</f>
        <v>0</v>
      </c>
      <c r="E153" s="154" t="str">
        <f>IF(AB52=AB82," ","ERROR: Temporary teaching staff headcount in table 2 and table 3 do not match.  Check S49 to Y50 and S80 to Y81.")</f>
        <v xml:space="preserve"> </v>
      </c>
      <c r="F153" s="155"/>
      <c r="G153" s="4" t="str">
        <f t="shared" si="26"/>
        <v xml:space="preserve"> </v>
      </c>
      <c r="H153" s="4">
        <f>IF(AB52=AB82,0,5)</f>
        <v>0</v>
      </c>
      <c r="I153" s="4">
        <v>5</v>
      </c>
      <c r="J153" s="4" t="s">
        <v>210</v>
      </c>
    </row>
    <row r="154" spans="1:11" ht="16" hidden="1" thickBot="1" x14ac:dyDescent="0.3">
      <c r="A154" s="535"/>
      <c r="B154" s="541"/>
      <c r="C154" s="161" t="s">
        <v>207</v>
      </c>
      <c r="D154" s="162">
        <f>IF(AB82=AB114,0,1)</f>
        <v>0</v>
      </c>
      <c r="E154" s="163" t="str">
        <f>IF(AB82=AB114," ","ERROR: Temporary teaching staff headcount in table 3 and table 4 do not match.  Check S80 to Y81 and I109 to I112.")</f>
        <v xml:space="preserve"> </v>
      </c>
      <c r="F154" s="155"/>
      <c r="G154" s="4" t="str">
        <f>IF(H154=0," ",1)</f>
        <v xml:space="preserve"> </v>
      </c>
      <c r="H154" s="4">
        <f>IF(AB82=AB114,0,6)</f>
        <v>0</v>
      </c>
      <c r="I154" s="4">
        <v>6</v>
      </c>
      <c r="J154" s="4" t="s">
        <v>211</v>
      </c>
    </row>
    <row r="155" spans="1:11" ht="15.5" hidden="1" x14ac:dyDescent="0.25">
      <c r="A155" s="535"/>
      <c r="B155" s="528" t="s">
        <v>85</v>
      </c>
      <c r="C155" s="158" t="s">
        <v>61</v>
      </c>
      <c r="D155" s="164">
        <f>IF(AB20=AB57,0,1)</f>
        <v>0</v>
      </c>
      <c r="E155" s="152" t="str">
        <f>IF(AB20=AB57," ","ERROR: Male teaching staff headcount in table 1 and table 2 do not match.  Check D31 to E31 as well as S47 to Y47 and S49 to Y49.")</f>
        <v xml:space="preserve"> </v>
      </c>
      <c r="F155" s="155"/>
      <c r="G155" s="4" t="str">
        <f>IF(H155=0," ",1)</f>
        <v xml:space="preserve"> </v>
      </c>
      <c r="H155" s="4">
        <f>IF(AB20=AB57,0,7)</f>
        <v>0</v>
      </c>
      <c r="I155" s="4">
        <v>7</v>
      </c>
      <c r="J155" s="4" t="s">
        <v>212</v>
      </c>
    </row>
    <row r="156" spans="1:11" ht="16" hidden="1" thickBot="1" x14ac:dyDescent="0.3">
      <c r="A156" s="535"/>
      <c r="B156" s="542"/>
      <c r="C156" s="161" t="s">
        <v>205</v>
      </c>
      <c r="D156" s="162">
        <f>IF(AB57=AB85,0,1)</f>
        <v>0</v>
      </c>
      <c r="E156" s="163" t="str">
        <f>IF(AB57=AB85," ","ERROR: Male teaching staff headcount in table 2 and table 3 do not match.  Check S47 to Y47 and S49 to Y49 as well as S78 to Y78 and S80 to Y80.")</f>
        <v xml:space="preserve"> </v>
      </c>
      <c r="F156" s="155"/>
      <c r="G156" s="4" t="str">
        <f t="shared" si="26"/>
        <v xml:space="preserve"> </v>
      </c>
      <c r="H156" s="4">
        <f>IF(AB57=AB85,0,8)</f>
        <v>0</v>
      </c>
      <c r="I156" s="4">
        <v>8</v>
      </c>
      <c r="J156" s="4" t="s">
        <v>213</v>
      </c>
    </row>
    <row r="157" spans="1:11" ht="15.5" hidden="1" x14ac:dyDescent="0.25">
      <c r="A157" s="535"/>
      <c r="B157" s="528" t="s">
        <v>86</v>
      </c>
      <c r="C157" s="158" t="s">
        <v>61</v>
      </c>
      <c r="D157" s="165">
        <f>IF(AB21=AB58,0,1)</f>
        <v>0</v>
      </c>
      <c r="E157" s="152" t="str">
        <f>IF(AB21=AB58," ","ERROR: Female teaching staff headcount in table 1 and table 2 do not match.  Check D32 to E32 as well as S48 to Y48 and S50 to Y50.")</f>
        <v xml:space="preserve"> </v>
      </c>
      <c r="F157" s="155"/>
      <c r="G157" s="4" t="str">
        <f t="shared" si="26"/>
        <v xml:space="preserve"> </v>
      </c>
      <c r="H157" s="4">
        <f>IF(AB21=AB58,0,9)</f>
        <v>0</v>
      </c>
      <c r="I157" s="4">
        <v>9</v>
      </c>
      <c r="J157" s="4" t="s">
        <v>214</v>
      </c>
    </row>
    <row r="158" spans="1:11" ht="16" hidden="1" thickBot="1" x14ac:dyDescent="0.3">
      <c r="A158" s="535"/>
      <c r="B158" s="542"/>
      <c r="C158" s="161" t="s">
        <v>205</v>
      </c>
      <c r="D158" s="162">
        <f>IF(AB58=AB86,0,1)</f>
        <v>0</v>
      </c>
      <c r="E158" s="157" t="str">
        <f>IF(AB58=AB86," ","ERROR: Female teaching staff headcount in table 2 and table 3 do not match.  Check S48 to Y48 and S50 to Y50 as well as S79 to Y79 and S81 to Y81.")</f>
        <v xml:space="preserve"> </v>
      </c>
      <c r="F158" s="155"/>
      <c r="G158" s="4" t="str">
        <f t="shared" si="26"/>
        <v xml:space="preserve"> </v>
      </c>
      <c r="H158" s="4">
        <f>IF(AB58=AB86,0,10)</f>
        <v>0</v>
      </c>
      <c r="I158" s="4">
        <v>10</v>
      </c>
      <c r="J158" s="4" t="s">
        <v>215</v>
      </c>
    </row>
    <row r="159" spans="1:11" ht="15.5" hidden="1" x14ac:dyDescent="0.25">
      <c r="A159" s="535"/>
      <c r="B159" s="540" t="s">
        <v>18</v>
      </c>
      <c r="C159" s="158" t="s">
        <v>205</v>
      </c>
      <c r="D159" s="166">
        <f>IF(AB55=AB83,0,1)</f>
        <v>0</v>
      </c>
      <c r="E159" s="167" t="str">
        <f>IF(AB55=AB83," ","ERROR: Full-time teaching staff headcount in table 2 and table 3 do not match.  Check S39 to Y42 and S70 to Y73.")</f>
        <v xml:space="preserve"> </v>
      </c>
      <c r="F159" s="155"/>
      <c r="G159" s="4" t="str">
        <f>IF(H159=0," ",1)</f>
        <v xml:space="preserve"> </v>
      </c>
      <c r="H159" s="4">
        <f>IF(AB55=AB83,0,11)</f>
        <v>0</v>
      </c>
      <c r="I159" s="4">
        <v>11</v>
      </c>
      <c r="J159" s="4" t="s">
        <v>216</v>
      </c>
    </row>
    <row r="160" spans="1:11" ht="16" hidden="1" thickBot="1" x14ac:dyDescent="0.3">
      <c r="A160" s="535"/>
      <c r="B160" s="544"/>
      <c r="C160" s="168" t="s">
        <v>207</v>
      </c>
      <c r="D160" s="169">
        <f>IF(AB83=AB115,0,1)</f>
        <v>0</v>
      </c>
      <c r="E160" s="157" t="str">
        <f>IF(AB83=AB115," ","ERROR: Full-time teaching staff headcount in table 3 and table 4 do not match.  Check S70 to Y73 and J109 to J112.")</f>
        <v xml:space="preserve"> </v>
      </c>
      <c r="F160" s="155"/>
      <c r="G160" s="4" t="str">
        <f>IF(H160=0," ",1)</f>
        <v xml:space="preserve"> </v>
      </c>
      <c r="H160" s="4">
        <f>IF(AB83=AB115,0,12)</f>
        <v>0</v>
      </c>
      <c r="I160" s="4">
        <v>12</v>
      </c>
      <c r="J160" s="4" t="s">
        <v>217</v>
      </c>
    </row>
    <row r="161" spans="1:10" ht="15.5" hidden="1" x14ac:dyDescent="0.25">
      <c r="A161" s="535"/>
      <c r="B161" s="543" t="s">
        <v>21</v>
      </c>
      <c r="C161" s="158" t="s">
        <v>205</v>
      </c>
      <c r="D161" s="170">
        <f>IF(AB56=AB84,0,1)</f>
        <v>0</v>
      </c>
      <c r="E161" s="152" t="str">
        <f>IF(AB56=AB84," ","ERROR: Part-time teaching staff headcount in table 2 and table 3 do not match.  Check S43 to Y46 and S74 to Y77.")</f>
        <v xml:space="preserve"> </v>
      </c>
      <c r="F161" s="155"/>
      <c r="G161" s="4" t="str">
        <f>IF(H161=0," ",1)</f>
        <v xml:space="preserve"> </v>
      </c>
      <c r="H161" s="4">
        <f>IF(AB56=AB84,0,13)</f>
        <v>0</v>
      </c>
      <c r="I161" s="4">
        <v>13</v>
      </c>
      <c r="J161" s="4" t="s">
        <v>218</v>
      </c>
    </row>
    <row r="162" spans="1:10" ht="16" hidden="1" thickBot="1" x14ac:dyDescent="0.3">
      <c r="A162" s="535"/>
      <c r="B162" s="544"/>
      <c r="C162" s="161" t="s">
        <v>207</v>
      </c>
      <c r="D162" s="171">
        <f>IF(AB84=AB116,0,1)</f>
        <v>0</v>
      </c>
      <c r="E162" s="157" t="str">
        <f>IF(AB84=AB116," ","ERROR: Part-time teaching staff headcount in table 3 and table 4 do not match.  Check S74 to Y77 and K109 to K112.")</f>
        <v xml:space="preserve"> </v>
      </c>
      <c r="F162" s="155"/>
      <c r="G162" s="4" t="str">
        <f>IF(H162=0," ",1)</f>
        <v xml:space="preserve"> </v>
      </c>
      <c r="H162" s="4">
        <f>IF(AB84=AB116,0,14)</f>
        <v>0</v>
      </c>
      <c r="I162" s="4">
        <v>14</v>
      </c>
      <c r="J162" s="4" t="s">
        <v>219</v>
      </c>
    </row>
    <row r="163" spans="1:10" ht="15.5" hidden="1" x14ac:dyDescent="0.25">
      <c r="A163" s="535"/>
      <c r="B163" s="150" t="s">
        <v>220</v>
      </c>
      <c r="C163" s="172" t="s">
        <v>205</v>
      </c>
      <c r="D163" s="166">
        <f>IF(AB59=AB87,0,1)</f>
        <v>0</v>
      </c>
      <c r="E163" s="167" t="str">
        <f>IF(AB59=AB87," ","ERROR: Teaching staff paid £15,000 or less headcount in table 2 and table 3 do not match.  Check S47 to S50 and S78 to S81.")</f>
        <v xml:space="preserve"> </v>
      </c>
      <c r="F163" s="155"/>
      <c r="G163" s="4" t="str">
        <f t="shared" si="26"/>
        <v xml:space="preserve"> </v>
      </c>
      <c r="H163" s="4">
        <f>IF(AB59=AB87,0,15)</f>
        <v>0</v>
      </c>
      <c r="I163" s="4">
        <v>15</v>
      </c>
      <c r="J163" s="4" t="s">
        <v>221</v>
      </c>
    </row>
    <row r="164" spans="1:10" ht="15.5" hidden="1" x14ac:dyDescent="0.25">
      <c r="A164" s="535"/>
      <c r="B164" s="173" t="s">
        <v>122</v>
      </c>
      <c r="C164" s="172" t="s">
        <v>205</v>
      </c>
      <c r="D164" s="174">
        <f>IF(AB60=AB88,0,1)</f>
        <v>0</v>
      </c>
      <c r="E164" s="154" t="str">
        <f>IF(AB60=AB88," ","ERROR: Teaching staff paid £15,001 to £20,000 headcount in table 2 and table 3 do not match.  Check T47 to T50 and T78 to T81.")</f>
        <v xml:space="preserve"> </v>
      </c>
      <c r="F164" s="155"/>
      <c r="G164" s="4" t="str">
        <f t="shared" si="26"/>
        <v xml:space="preserve"> </v>
      </c>
      <c r="H164" s="4">
        <f>IF(AB60=AB88,0,16)</f>
        <v>0</v>
      </c>
      <c r="I164" s="4">
        <v>16</v>
      </c>
      <c r="J164" s="4" t="s">
        <v>222</v>
      </c>
    </row>
    <row r="165" spans="1:10" ht="15.5" hidden="1" x14ac:dyDescent="0.25">
      <c r="A165" s="535"/>
      <c r="B165" s="173" t="s">
        <v>123</v>
      </c>
      <c r="C165" s="172" t="s">
        <v>205</v>
      </c>
      <c r="D165" s="174">
        <f>IF(AB61=AB89,0,1)</f>
        <v>0</v>
      </c>
      <c r="E165" s="154" t="str">
        <f>IF(AB61=AB89," ","ERROR: Teaching staff paid £20,001 to £30,000 headcount in table 2 and table 3 do not match.  Check U47 to U50 and U78 to U81.")</f>
        <v xml:space="preserve"> </v>
      </c>
      <c r="F165" s="155"/>
      <c r="G165" s="4" t="str">
        <f t="shared" si="26"/>
        <v xml:space="preserve"> </v>
      </c>
      <c r="H165" s="4">
        <f>IF(AB61=AB89,0,17)</f>
        <v>0</v>
      </c>
      <c r="I165" s="4">
        <v>17</v>
      </c>
      <c r="J165" s="4" t="s">
        <v>223</v>
      </c>
    </row>
    <row r="166" spans="1:10" ht="15.5" hidden="1" x14ac:dyDescent="0.25">
      <c r="A166" s="535"/>
      <c r="B166" s="173" t="s">
        <v>124</v>
      </c>
      <c r="C166" s="172" t="s">
        <v>205</v>
      </c>
      <c r="D166" s="174">
        <f>IF(AB62=AB90,0,1)</f>
        <v>0</v>
      </c>
      <c r="E166" s="154" t="str">
        <f>IF(AB62=AB90," ","ERROR: Teaching staff paid £30,001 to £50,000 headcount in table 2 and table 3 do not match.  Check V47 to V50 and V78 to V81.")</f>
        <v xml:space="preserve"> </v>
      </c>
      <c r="F166" s="155"/>
      <c r="G166" s="4" t="str">
        <f t="shared" si="26"/>
        <v xml:space="preserve"> </v>
      </c>
      <c r="H166" s="4">
        <f>IF(AB62=AB90,0,18)</f>
        <v>0</v>
      </c>
      <c r="I166" s="4">
        <v>18</v>
      </c>
      <c r="J166" s="4" t="s">
        <v>224</v>
      </c>
    </row>
    <row r="167" spans="1:10" ht="15.5" hidden="1" x14ac:dyDescent="0.25">
      <c r="A167" s="535"/>
      <c r="B167" s="173" t="s">
        <v>125</v>
      </c>
      <c r="C167" s="172" t="s">
        <v>205</v>
      </c>
      <c r="D167" s="174">
        <f>IF(AB64=AB91,0,1)</f>
        <v>0</v>
      </c>
      <c r="E167" s="154" t="str">
        <f>IF(AB64=AB91," ","ERROR:Teaching staff paid £50,001 to £75,000 headcount in table 2 and table 3 do not match.  Check W47 to W50 and W78 to W81.")</f>
        <v xml:space="preserve"> </v>
      </c>
      <c r="F167" s="155"/>
      <c r="G167" s="4" t="str">
        <f t="shared" si="26"/>
        <v xml:space="preserve"> </v>
      </c>
      <c r="H167" s="4">
        <f>IF(AB64=AB91,0,19)</f>
        <v>0</v>
      </c>
      <c r="I167" s="4">
        <v>19</v>
      </c>
      <c r="J167" s="4" t="s">
        <v>225</v>
      </c>
    </row>
    <row r="168" spans="1:10" ht="15.5" hidden="1" x14ac:dyDescent="0.25">
      <c r="A168" s="535"/>
      <c r="B168" s="173" t="s">
        <v>128</v>
      </c>
      <c r="C168" s="172" t="s">
        <v>205</v>
      </c>
      <c r="D168" s="174">
        <f>IF(AB65=AB92,0,1)</f>
        <v>0</v>
      </c>
      <c r="E168" s="154" t="str">
        <f>IF(AB65=AB92," ","ERROR: Teaching staff paid £75,001 to £100,000 headcount in table 2 and table 3 do not match.  Check X47 to X50 and X78 to X81.")</f>
        <v xml:space="preserve"> </v>
      </c>
      <c r="F168" s="155"/>
      <c r="G168" s="4" t="str">
        <f t="shared" si="26"/>
        <v xml:space="preserve"> </v>
      </c>
      <c r="H168" s="4">
        <f>IF(AB65=AB92,0,20)</f>
        <v>0</v>
      </c>
      <c r="I168" s="4">
        <v>20</v>
      </c>
      <c r="J168" s="4" t="s">
        <v>226</v>
      </c>
    </row>
    <row r="169" spans="1:10" ht="16" hidden="1" thickBot="1" x14ac:dyDescent="0.3">
      <c r="A169" s="536"/>
      <c r="B169" s="175" t="s">
        <v>227</v>
      </c>
      <c r="C169" s="176" t="s">
        <v>205</v>
      </c>
      <c r="D169" s="169">
        <f>IF(AB66=AB93,0,1)</f>
        <v>0</v>
      </c>
      <c r="E169" s="163" t="str">
        <f>IF(AB66=AB93," ","ERROR: Teaching staff paid greater than £100,000 headcount in table 2 and table 3 do not match.  Check Y47 to Y50 and Y78 to Y81.")</f>
        <v xml:space="preserve"> </v>
      </c>
      <c r="F169" s="155"/>
      <c r="G169" s="4" t="str">
        <f t="shared" si="26"/>
        <v xml:space="preserve"> </v>
      </c>
      <c r="H169" s="4">
        <f>IF(AB66=AB93,0,21)</f>
        <v>0</v>
      </c>
      <c r="I169" s="4">
        <v>21</v>
      </c>
      <c r="J169" s="4" t="s">
        <v>228</v>
      </c>
    </row>
    <row r="170" spans="1:10" ht="16" hidden="1" thickBot="1" x14ac:dyDescent="0.4">
      <c r="A170" s="537" t="s">
        <v>229</v>
      </c>
      <c r="B170" s="177" t="s">
        <v>17</v>
      </c>
      <c r="C170" s="178" t="s">
        <v>205</v>
      </c>
      <c r="D170" s="179">
        <f>IF(AD49=AD81,0,1)</f>
        <v>0</v>
      </c>
      <c r="E170" s="180" t="str">
        <f>IF(AD49=AD81," ","ERROR: Permanent non-teaching staff headcount in table 2 and table 3 do not match.  Check S60 to Y61 and S91 to Y92.")</f>
        <v xml:space="preserve"> </v>
      </c>
      <c r="G170" s="4" t="str">
        <f>IF(H170=0," ",1)</f>
        <v xml:space="preserve"> </v>
      </c>
      <c r="H170" s="4">
        <f>IF(AD49=AD81,0,22)</f>
        <v>0</v>
      </c>
      <c r="I170" s="4">
        <v>22</v>
      </c>
      <c r="J170" s="4" t="s">
        <v>230</v>
      </c>
    </row>
    <row r="171" spans="1:10" ht="16" hidden="1" thickBot="1" x14ac:dyDescent="0.4">
      <c r="A171" s="545"/>
      <c r="B171" s="177" t="s">
        <v>20</v>
      </c>
      <c r="C171" s="181" t="s">
        <v>205</v>
      </c>
      <c r="D171" s="182">
        <f>IF(AD52=AD82,0,1)</f>
        <v>0</v>
      </c>
      <c r="E171" s="183" t="str">
        <f>IF(AD52=AD82," ","ERROR: Temporary non-teaching staff headcount in table 2 and table 3 do not match.  Check S62 to Y63 and S93 to Y94.")</f>
        <v xml:space="preserve"> </v>
      </c>
      <c r="G171" s="4" t="str">
        <f t="shared" si="26"/>
        <v xml:space="preserve"> </v>
      </c>
      <c r="H171" s="4">
        <f>IF(AD52=AD82,0,23)</f>
        <v>0</v>
      </c>
      <c r="I171" s="4">
        <v>23</v>
      </c>
      <c r="J171" s="4" t="s">
        <v>231</v>
      </c>
    </row>
    <row r="172" spans="1:10" ht="15.5" hidden="1" x14ac:dyDescent="0.35">
      <c r="A172" s="545"/>
      <c r="B172" s="543" t="s">
        <v>85</v>
      </c>
      <c r="C172" s="151" t="s">
        <v>61</v>
      </c>
      <c r="D172" s="184">
        <f>IF(AB35=AD57,0,1)</f>
        <v>0</v>
      </c>
      <c r="E172" s="152" t="str">
        <f>IF(AB35=AD57," ","ERROR: Male non-teaching staff headcount in table 1 and table 2 do not match.  Check F31 to G31 as well as S60 to Y60 and S62 to Y62.")</f>
        <v xml:space="preserve"> </v>
      </c>
      <c r="G172" s="4" t="str">
        <f t="shared" si="26"/>
        <v xml:space="preserve"> </v>
      </c>
      <c r="H172" s="4">
        <f>IF(AB35=AD57,0,24)</f>
        <v>0</v>
      </c>
      <c r="I172" s="4">
        <v>24</v>
      </c>
      <c r="J172" s="4" t="s">
        <v>232</v>
      </c>
    </row>
    <row r="173" spans="1:10" ht="16" hidden="1" thickBot="1" x14ac:dyDescent="0.4">
      <c r="A173" s="545"/>
      <c r="B173" s="548"/>
      <c r="C173" s="185" t="s">
        <v>205</v>
      </c>
      <c r="D173" s="186">
        <f>IF(AD57=AD85,0,1)</f>
        <v>0</v>
      </c>
      <c r="E173" s="157" t="str">
        <f>IF(AD57=AD85," ","ERROR: Male non-teaching staff headcount in table 2 and table 3 do not match.  Check S60 to Y60 and S62 to Y62 as well as S91 to Y91 and S93 to Y93.")</f>
        <v xml:space="preserve"> </v>
      </c>
      <c r="G173" s="4" t="str">
        <f t="shared" si="26"/>
        <v xml:space="preserve"> </v>
      </c>
      <c r="H173" s="4">
        <f>IF(AD57=AD85,0,25)</f>
        <v>0</v>
      </c>
      <c r="I173" s="4">
        <v>25</v>
      </c>
      <c r="J173" s="4" t="s">
        <v>233</v>
      </c>
    </row>
    <row r="174" spans="1:10" ht="15.5" hidden="1" x14ac:dyDescent="0.35">
      <c r="A174" s="545"/>
      <c r="B174" s="543" t="s">
        <v>86</v>
      </c>
      <c r="C174" s="151" t="s">
        <v>61</v>
      </c>
      <c r="D174" s="152">
        <f>IF(AB36=AD58,0,1)</f>
        <v>0</v>
      </c>
      <c r="E174" s="152" t="str">
        <f>IF(AB36=AD58," ","ERROR: Female non-teaching staff headcount in table 1 and table 2 do not match.  Check F32 to G32 as well as S48 to Y48 and S50 to Y50.")</f>
        <v xml:space="preserve"> </v>
      </c>
      <c r="G174" s="4" t="str">
        <f t="shared" si="26"/>
        <v xml:space="preserve"> </v>
      </c>
      <c r="H174" s="4">
        <f>IF(AB36=AD58,0,26)</f>
        <v>0</v>
      </c>
      <c r="I174" s="4">
        <v>26</v>
      </c>
      <c r="J174" s="4" t="s">
        <v>234</v>
      </c>
    </row>
    <row r="175" spans="1:10" ht="16" hidden="1" thickBot="1" x14ac:dyDescent="0.4">
      <c r="A175" s="546"/>
      <c r="B175" s="548"/>
      <c r="C175" s="156" t="s">
        <v>205</v>
      </c>
      <c r="D175" s="157">
        <f>IF(AD58=AD86,0,1)</f>
        <v>0</v>
      </c>
      <c r="E175" s="187" t="str">
        <f>IF(AD58=AD86," ","ERROR: Female non-teaching staff headcount in table 2 and table 3 do not match.  Check S61 to Y61 and S63 to Y63 as well as S92 to Y92 and S94 to Y94.")</f>
        <v xml:space="preserve"> </v>
      </c>
      <c r="G175" s="4" t="str">
        <f t="shared" si="26"/>
        <v xml:space="preserve"> </v>
      </c>
      <c r="H175" s="4">
        <f>IF(AD58=AD86,0,27)</f>
        <v>0</v>
      </c>
      <c r="I175" s="4">
        <v>27</v>
      </c>
      <c r="J175" s="4" t="s">
        <v>235</v>
      </c>
    </row>
    <row r="176" spans="1:10" ht="16" hidden="1" thickBot="1" x14ac:dyDescent="0.4">
      <c r="A176" s="546"/>
      <c r="B176" s="188" t="s">
        <v>18</v>
      </c>
      <c r="C176" s="178" t="s">
        <v>205</v>
      </c>
      <c r="D176" s="180">
        <f>IF(AD55=AD83,0,1)</f>
        <v>0</v>
      </c>
      <c r="E176" s="180" t="str">
        <f>IF(AD55=AD83," ","ERROR: Full-time non-teaching staff headcount in table 2 and table 3 do not match.  Check S52 to Y55 and S83 to Y86.")</f>
        <v xml:space="preserve"> </v>
      </c>
      <c r="G176" s="4" t="str">
        <f>IF(H176=0," ",1)</f>
        <v xml:space="preserve"> </v>
      </c>
      <c r="H176" s="4">
        <f>IF(AD55=AD83,0,28)</f>
        <v>0</v>
      </c>
      <c r="I176" s="4">
        <v>28</v>
      </c>
      <c r="J176" s="4" t="s">
        <v>236</v>
      </c>
    </row>
    <row r="177" spans="1:10" ht="16" hidden="1" thickBot="1" x14ac:dyDescent="0.4">
      <c r="A177" s="546"/>
      <c r="B177" s="189" t="s">
        <v>21</v>
      </c>
      <c r="C177" s="176" t="s">
        <v>205</v>
      </c>
      <c r="D177" s="180">
        <f>IF(AD56=AD84,0,1)</f>
        <v>0</v>
      </c>
      <c r="E177" s="180" t="str">
        <f>IF(AD56=AD84," ","ERROR: Part-time non-teaching staff headcount in table 2 and table 3 do not match.  Check S56 to Y59 and S87 to Y90.")</f>
        <v xml:space="preserve"> </v>
      </c>
      <c r="G177" s="4" t="str">
        <f>IF(H177=0," ",1)</f>
        <v xml:space="preserve"> </v>
      </c>
      <c r="H177" s="4">
        <f>IF(AD56=AD84,0,29)</f>
        <v>0</v>
      </c>
      <c r="I177" s="4">
        <v>29</v>
      </c>
      <c r="J177" s="4" t="s">
        <v>237</v>
      </c>
    </row>
    <row r="178" spans="1:10" ht="15.5" hidden="1" x14ac:dyDescent="0.35">
      <c r="A178" s="546"/>
      <c r="B178" s="190" t="s">
        <v>220</v>
      </c>
      <c r="C178" s="172" t="s">
        <v>205</v>
      </c>
      <c r="D178" s="166">
        <f>IF(AD59=AD87,0,1)</f>
        <v>0</v>
      </c>
      <c r="E178" s="167" t="str">
        <f>IF(AD59=AD87," ","ERROR: Non-teaching staff paid £15,000 or less headcount in table 2 and table 3 do not match.  Check S60 to S63 and S91 to S94.")</f>
        <v xml:space="preserve"> </v>
      </c>
      <c r="G178" s="4" t="str">
        <f t="shared" si="26"/>
        <v xml:space="preserve"> </v>
      </c>
      <c r="H178" s="4">
        <f>IF(AD59=AD87,0,30)</f>
        <v>0</v>
      </c>
      <c r="I178" s="4">
        <v>30</v>
      </c>
      <c r="J178" s="4" t="s">
        <v>238</v>
      </c>
    </row>
    <row r="179" spans="1:10" ht="15.5" hidden="1" x14ac:dyDescent="0.35">
      <c r="A179" s="546"/>
      <c r="B179" s="191" t="s">
        <v>122</v>
      </c>
      <c r="C179" s="160" t="s">
        <v>205</v>
      </c>
      <c r="D179" s="174">
        <f>IF(AD60=AD88,0,1)</f>
        <v>0</v>
      </c>
      <c r="E179" s="154" t="str">
        <f>IF(AD60=AD88," ","ERROR: Non-teaching staff paid £15,001 to £20,000 headcount in table 2 and table 3 do not match.  Check T60 to T63 and T91 to T94.")</f>
        <v xml:space="preserve"> </v>
      </c>
      <c r="G179" s="4" t="str">
        <f t="shared" si="26"/>
        <v xml:space="preserve"> </v>
      </c>
      <c r="H179" s="4">
        <f>IF(AD60=AD88,0,31)</f>
        <v>0</v>
      </c>
      <c r="I179" s="4">
        <v>31</v>
      </c>
      <c r="J179" s="4" t="s">
        <v>239</v>
      </c>
    </row>
    <row r="180" spans="1:10" ht="15.5" hidden="1" x14ac:dyDescent="0.35">
      <c r="A180" s="546"/>
      <c r="B180" s="191" t="s">
        <v>123</v>
      </c>
      <c r="C180" s="160" t="s">
        <v>205</v>
      </c>
      <c r="D180" s="174">
        <f>IF(AD61=AD89,0,1)</f>
        <v>0</v>
      </c>
      <c r="E180" s="154" t="str">
        <f>IF(AD61=AD89," ","ERROR: Non-teaching staff paid £20,001 to £30,000 headcount in table 2 and table 3 do not match.  Check U60 to U63 and U91 to U94.")</f>
        <v xml:space="preserve"> </v>
      </c>
      <c r="G180" s="4" t="str">
        <f t="shared" si="26"/>
        <v xml:space="preserve"> </v>
      </c>
      <c r="H180" s="4">
        <f>IF(AD61=AD89,0,32)</f>
        <v>0</v>
      </c>
      <c r="I180" s="4">
        <v>32</v>
      </c>
      <c r="J180" s="4" t="s">
        <v>240</v>
      </c>
    </row>
    <row r="181" spans="1:10" ht="15.5" hidden="1" x14ac:dyDescent="0.35">
      <c r="A181" s="546"/>
      <c r="B181" s="191" t="s">
        <v>124</v>
      </c>
      <c r="C181" s="160" t="s">
        <v>205</v>
      </c>
      <c r="D181" s="174">
        <f>IF(AD62=AD90,0,1)</f>
        <v>0</v>
      </c>
      <c r="E181" s="154" t="str">
        <f>IF(AD62=AD90," ","ERROR: Non-teaching staff paid £30,001 to £50,000 headcount in table 2 and table 3 do not match.  Check V60 to V63 and V91 to V94.")</f>
        <v xml:space="preserve"> </v>
      </c>
      <c r="G181" s="4" t="str">
        <f t="shared" si="26"/>
        <v xml:space="preserve"> </v>
      </c>
      <c r="H181" s="4">
        <f>IF(AD62=AD90,0,33)</f>
        <v>0</v>
      </c>
      <c r="I181" s="4">
        <v>33</v>
      </c>
      <c r="J181" s="4" t="s">
        <v>241</v>
      </c>
    </row>
    <row r="182" spans="1:10" ht="15.5" hidden="1" x14ac:dyDescent="0.35">
      <c r="A182" s="546"/>
      <c r="B182" s="191" t="s">
        <v>125</v>
      </c>
      <c r="C182" s="160" t="s">
        <v>205</v>
      </c>
      <c r="D182" s="174">
        <f>IF(AD64=AD91,0,1)</f>
        <v>0</v>
      </c>
      <c r="E182" s="154" t="str">
        <f>IF(AD64=AD91," ","ERROR:Non-teaching staff paid £50,001 to £75,000 headcount in table 2 and table 3 do not match.  Check W60 to W63 and W91 to W94.")</f>
        <v xml:space="preserve"> </v>
      </c>
      <c r="G182" s="4" t="str">
        <f t="shared" si="26"/>
        <v xml:space="preserve"> </v>
      </c>
      <c r="H182" s="4">
        <f>IF(AD64=AD91,0,34)</f>
        <v>0</v>
      </c>
      <c r="I182" s="4">
        <v>34</v>
      </c>
      <c r="J182" s="4" t="s">
        <v>242</v>
      </c>
    </row>
    <row r="183" spans="1:10" ht="15.5" hidden="1" x14ac:dyDescent="0.35">
      <c r="A183" s="546"/>
      <c r="B183" s="191" t="s">
        <v>128</v>
      </c>
      <c r="C183" s="160" t="s">
        <v>205</v>
      </c>
      <c r="D183" s="174">
        <f>IF(AD65=AD92,0,1)</f>
        <v>0</v>
      </c>
      <c r="E183" s="154" t="str">
        <f>IF(AD65=AD92," ","ERROR: Non-teaching staff paid £75,001 to £100,000 headcount in table 2 and table 3 do not match.  Check X60 to X63 and X91 to X94.")</f>
        <v xml:space="preserve"> </v>
      </c>
      <c r="G183" s="4" t="str">
        <f t="shared" si="26"/>
        <v xml:space="preserve"> </v>
      </c>
      <c r="H183" s="4">
        <f>IF(AD65=AD92,0,35)</f>
        <v>0</v>
      </c>
      <c r="I183" s="4">
        <v>35</v>
      </c>
      <c r="J183" s="4" t="s">
        <v>243</v>
      </c>
    </row>
    <row r="184" spans="1:10" ht="16" hidden="1" thickBot="1" x14ac:dyDescent="0.4">
      <c r="A184" s="547"/>
      <c r="B184" s="192" t="s">
        <v>227</v>
      </c>
      <c r="C184" s="161" t="s">
        <v>205</v>
      </c>
      <c r="D184" s="171">
        <f>IF(AD66=AD93,0,1)</f>
        <v>0</v>
      </c>
      <c r="E184" s="157" t="str">
        <f>IF(AD66=AD93," ","ERROR: Non-teaching staff paid greater than £100,000 headcount in table 2 and table 3 do not match.  Check Y60 to Y63 and Y91 to Y94.")</f>
        <v xml:space="preserve"> </v>
      </c>
      <c r="G184" s="4" t="str">
        <f t="shared" si="26"/>
        <v xml:space="preserve"> </v>
      </c>
      <c r="H184" s="4">
        <f>IF(AD66=AD93,0,36)</f>
        <v>0</v>
      </c>
      <c r="I184" s="4">
        <v>36</v>
      </c>
      <c r="J184" s="4" t="s">
        <v>244</v>
      </c>
    </row>
    <row r="185" spans="1:10" ht="15.75" hidden="1" customHeight="1" x14ac:dyDescent="0.35">
      <c r="A185" s="528" t="s">
        <v>245</v>
      </c>
      <c r="B185" s="528" t="s">
        <v>246</v>
      </c>
      <c r="C185" s="158" t="s">
        <v>61</v>
      </c>
      <c r="D185" s="165">
        <f>IF(AB17=AB48,0,1)</f>
        <v>0</v>
      </c>
      <c r="E185" s="152" t="str">
        <f>IF(AB17=AB48," ","ERROR: Total teaching headcount in table 1 and table 2 do not match.  Check D31 to E32 and S47 to Y50.")</f>
        <v xml:space="preserve"> </v>
      </c>
      <c r="G185" s="4" t="str">
        <f t="shared" si="26"/>
        <v xml:space="preserve"> </v>
      </c>
      <c r="H185" s="4">
        <f>IF(AB17=AB48,0,37)</f>
        <v>0</v>
      </c>
      <c r="I185" s="4">
        <v>37</v>
      </c>
      <c r="J185" s="4" t="s">
        <v>247</v>
      </c>
    </row>
    <row r="186" spans="1:10" ht="15.75" hidden="1" customHeight="1" x14ac:dyDescent="0.35">
      <c r="A186" s="530"/>
      <c r="B186" s="531"/>
      <c r="C186" s="160" t="s">
        <v>205</v>
      </c>
      <c r="D186" s="159">
        <f>IF(AB48=AB80,0,1)</f>
        <v>0</v>
      </c>
      <c r="E186" s="154" t="str">
        <f>IF(AB48=AB80," ","ERROR: Total teaching headcount in table 2 and table 3 do not match.  Check S47 to Y50 and S78 to Y81.")</f>
        <v xml:space="preserve"> </v>
      </c>
      <c r="G186" s="4" t="str">
        <f>IF(H186=0," ",1)</f>
        <v xml:space="preserve"> </v>
      </c>
      <c r="H186" s="4">
        <f>IF(AB48=AB80,0,38)</f>
        <v>0</v>
      </c>
      <c r="I186" s="4">
        <v>38</v>
      </c>
      <c r="J186" s="4" t="s">
        <v>248</v>
      </c>
    </row>
    <row r="187" spans="1:10" ht="16" hidden="1" thickBot="1" x14ac:dyDescent="0.4">
      <c r="A187" s="530"/>
      <c r="B187" s="532"/>
      <c r="C187" s="161" t="s">
        <v>207</v>
      </c>
      <c r="D187" s="162">
        <f>IF(AB80=AB112,0,1)</f>
        <v>0</v>
      </c>
      <c r="E187" s="157" t="str">
        <f>IF(AB80=AB112," ","ERROR: Total teaching staff headcount in table 3 and table 4 do not match.  Check S78 to Y81 and L109 to L112.")</f>
        <v xml:space="preserve"> </v>
      </c>
      <c r="G187" s="4" t="str">
        <f>IF(H187=0," ",1)</f>
        <v xml:space="preserve"> </v>
      </c>
      <c r="H187" s="4">
        <f>IF(AB80=AB112,0,39)</f>
        <v>0</v>
      </c>
      <c r="I187" s="4">
        <v>39</v>
      </c>
      <c r="J187" s="4" t="s">
        <v>249</v>
      </c>
    </row>
    <row r="188" spans="1:10" ht="15.5" hidden="1" x14ac:dyDescent="0.35">
      <c r="A188" s="530"/>
      <c r="B188" s="528" t="s">
        <v>250</v>
      </c>
      <c r="C188" s="172" t="s">
        <v>61</v>
      </c>
      <c r="D188" s="152">
        <f>IF(AB22=AD48,0,1)</f>
        <v>0</v>
      </c>
      <c r="E188" s="152" t="str">
        <f>IF(AB22=AD48," ","ERROR: Total non-teaching staff headcount in table 1 and table 2 do not match.  Check F31 to G32 and S60 to Y63.")</f>
        <v xml:space="preserve"> </v>
      </c>
      <c r="G188" s="4" t="str">
        <f>IF(H188=0," ",1)</f>
        <v xml:space="preserve"> </v>
      </c>
      <c r="H188" s="4">
        <f>IF(AB22=AD48,0,40)</f>
        <v>0</v>
      </c>
      <c r="I188" s="4">
        <v>40</v>
      </c>
      <c r="J188" s="4" t="s">
        <v>251</v>
      </c>
    </row>
    <row r="189" spans="1:10" ht="16" hidden="1" thickBot="1" x14ac:dyDescent="0.4">
      <c r="A189" s="529"/>
      <c r="B189" s="529"/>
      <c r="C189" s="161" t="s">
        <v>205</v>
      </c>
      <c r="D189" s="157">
        <f>IF(AD48=AD80,0,1)</f>
        <v>0</v>
      </c>
      <c r="E189" s="157" t="str">
        <f>IF(AD48=AD80," ","ERROR: Total non-teaching staff headcount in table 2 and table 3 do not match.  Check S60 to Y63 and S91 to Y94.")</f>
        <v xml:space="preserve"> </v>
      </c>
      <c r="H189" s="4">
        <f>IF(AD48=AD80,0,41)</f>
        <v>0</v>
      </c>
      <c r="I189" s="4">
        <v>41</v>
      </c>
      <c r="J189" s="4" t="s">
        <v>252</v>
      </c>
    </row>
    <row r="190" spans="1:10" ht="0" hidden="1" customHeight="1" x14ac:dyDescent="0.35"/>
    <row r="191" spans="1:10" ht="0" hidden="1" customHeight="1" x14ac:dyDescent="0.35"/>
    <row r="192" spans="1:10" ht="0" hidden="1" customHeight="1" x14ac:dyDescent="0.35"/>
    <row r="193" ht="0" hidden="1" customHeight="1" x14ac:dyDescent="0.35"/>
    <row r="194" ht="0" hidden="1" customHeight="1" x14ac:dyDescent="0.35"/>
    <row r="195" ht="0" hidden="1" customHeight="1" x14ac:dyDescent="0.35"/>
    <row r="196" ht="0" hidden="1" customHeight="1" x14ac:dyDescent="0.35"/>
    <row r="197" ht="0" hidden="1" customHeight="1" x14ac:dyDescent="0.35"/>
    <row r="198" ht="0" hidden="1" customHeight="1" x14ac:dyDescent="0.35"/>
    <row r="199" ht="0" hidden="1" customHeight="1" x14ac:dyDescent="0.35"/>
    <row r="200" ht="0" hidden="1" customHeight="1" x14ac:dyDescent="0.35"/>
    <row r="201" ht="0" hidden="1" customHeight="1" x14ac:dyDescent="0.35"/>
    <row r="202" ht="0" hidden="1" customHeight="1" x14ac:dyDescent="0.35"/>
    <row r="203" ht="0" hidden="1" customHeight="1" x14ac:dyDescent="0.35"/>
    <row r="204" ht="0" hidden="1" customHeight="1" x14ac:dyDescent="0.35"/>
    <row r="205" ht="0" hidden="1" customHeight="1" x14ac:dyDescent="0.35"/>
    <row r="206" ht="0" hidden="1" customHeight="1" x14ac:dyDescent="0.35"/>
    <row r="207" ht="0" hidden="1" customHeight="1" x14ac:dyDescent="0.35"/>
    <row r="208" ht="0" hidden="1" customHeight="1" x14ac:dyDescent="0.35"/>
    <row r="209" ht="0" hidden="1" customHeight="1" x14ac:dyDescent="0.35"/>
    <row r="210" ht="0" hidden="1" customHeight="1" x14ac:dyDescent="0.35"/>
    <row r="211" ht="0" hidden="1" customHeight="1" x14ac:dyDescent="0.35"/>
    <row r="212" ht="0" hidden="1" customHeight="1" x14ac:dyDescent="0.35"/>
    <row r="213" ht="0" hidden="1" customHeight="1" x14ac:dyDescent="0.35"/>
    <row r="214" ht="0" hidden="1" customHeight="1" x14ac:dyDescent="0.35"/>
  </sheetData>
  <sortState xmlns:xlrd2="http://schemas.microsoft.com/office/spreadsheetml/2017/richdata2" ref="B134:B140">
    <sortCondition ref="B134"/>
  </sortState>
  <mergeCells count="130">
    <mergeCell ref="B188:B189"/>
    <mergeCell ref="A185:A189"/>
    <mergeCell ref="B185:B187"/>
    <mergeCell ref="E143:F143"/>
    <mergeCell ref="A149:A169"/>
    <mergeCell ref="B149:B151"/>
    <mergeCell ref="B152:B154"/>
    <mergeCell ref="B155:B156"/>
    <mergeCell ref="B161:B162"/>
    <mergeCell ref="A170:A184"/>
    <mergeCell ref="B172:B173"/>
    <mergeCell ref="B174:B175"/>
    <mergeCell ref="B157:B158"/>
    <mergeCell ref="B159:B160"/>
    <mergeCell ref="C143:D143"/>
    <mergeCell ref="AA128:AB128"/>
    <mergeCell ref="C129:D129"/>
    <mergeCell ref="E129:E132"/>
    <mergeCell ref="F129:F132"/>
    <mergeCell ref="G129:G132"/>
    <mergeCell ref="I129:I132"/>
    <mergeCell ref="C130:C132"/>
    <mergeCell ref="D130:D132"/>
    <mergeCell ref="A110:A124"/>
    <mergeCell ref="B110:B112"/>
    <mergeCell ref="C110:C112"/>
    <mergeCell ref="D110:L110"/>
    <mergeCell ref="D111:F111"/>
    <mergeCell ref="G111:I111"/>
    <mergeCell ref="J111:L111"/>
    <mergeCell ref="AA111:AB111"/>
    <mergeCell ref="B113:B116"/>
    <mergeCell ref="B117:B120"/>
    <mergeCell ref="B121:B124"/>
    <mergeCell ref="A128:A142"/>
    <mergeCell ref="B128:B132"/>
    <mergeCell ref="C128:G128"/>
    <mergeCell ref="AA5:AC10"/>
    <mergeCell ref="AA47:AD47"/>
    <mergeCell ref="E49:K49"/>
    <mergeCell ref="L49:R49"/>
    <mergeCell ref="S49:Y49"/>
    <mergeCell ref="D16:H18"/>
    <mergeCell ref="E48:K48"/>
    <mergeCell ref="L48:R48"/>
    <mergeCell ref="S48:Y48"/>
    <mergeCell ref="D47:D50"/>
    <mergeCell ref="E47:Y47"/>
    <mergeCell ref="J19:J22"/>
    <mergeCell ref="K19:N22"/>
    <mergeCell ref="AA16:AB16"/>
    <mergeCell ref="D19:E19"/>
    <mergeCell ref="F19:F22"/>
    <mergeCell ref="G19:G22"/>
    <mergeCell ref="H19:H22"/>
    <mergeCell ref="K16:N16"/>
    <mergeCell ref="J17:J18"/>
    <mergeCell ref="D20:D22"/>
    <mergeCell ref="E20:E22"/>
    <mergeCell ref="K17:N18"/>
    <mergeCell ref="F46:G46"/>
    <mergeCell ref="C16:C22"/>
    <mergeCell ref="C51:C52"/>
    <mergeCell ref="C53:C54"/>
    <mergeCell ref="B55:B58"/>
    <mergeCell ref="C55:C56"/>
    <mergeCell ref="C57:C58"/>
    <mergeCell ref="L79:R79"/>
    <mergeCell ref="C64:C65"/>
    <mergeCell ref="C66:C67"/>
    <mergeCell ref="B68:B71"/>
    <mergeCell ref="C68:C69"/>
    <mergeCell ref="C70:C71"/>
    <mergeCell ref="B72:B75"/>
    <mergeCell ref="C72:C73"/>
    <mergeCell ref="C74:C75"/>
    <mergeCell ref="C59:C60"/>
    <mergeCell ref="C61:C62"/>
    <mergeCell ref="B43:B44"/>
    <mergeCell ref="B47:B50"/>
    <mergeCell ref="C47:C50"/>
    <mergeCell ref="B37:B38"/>
    <mergeCell ref="B39:B40"/>
    <mergeCell ref="B41:B42"/>
    <mergeCell ref="D46:E46"/>
    <mergeCell ref="S79:Y79"/>
    <mergeCell ref="A79:A81"/>
    <mergeCell ref="B79:B81"/>
    <mergeCell ref="C79:C81"/>
    <mergeCell ref="D79:D81"/>
    <mergeCell ref="AA79:AD79"/>
    <mergeCell ref="E80:K80"/>
    <mergeCell ref="L80:R80"/>
    <mergeCell ref="S80:Y80"/>
    <mergeCell ref="E79:K79"/>
    <mergeCell ref="A95:A106"/>
    <mergeCell ref="B95:B98"/>
    <mergeCell ref="C95:C96"/>
    <mergeCell ref="C97:C98"/>
    <mergeCell ref="B99:B102"/>
    <mergeCell ref="C99:C100"/>
    <mergeCell ref="C101:C102"/>
    <mergeCell ref="B103:B106"/>
    <mergeCell ref="C103:C104"/>
    <mergeCell ref="C105:C106"/>
    <mergeCell ref="A82:A93"/>
    <mergeCell ref="B82:B85"/>
    <mergeCell ref="C82:C83"/>
    <mergeCell ref="C84:C85"/>
    <mergeCell ref="B86:B89"/>
    <mergeCell ref="C86:C87"/>
    <mergeCell ref="C88:C89"/>
    <mergeCell ref="B90:B93"/>
    <mergeCell ref="C90:C91"/>
    <mergeCell ref="C92:C93"/>
    <mergeCell ref="A51:A62"/>
    <mergeCell ref="B27:B28"/>
    <mergeCell ref="B29:B30"/>
    <mergeCell ref="B31:B32"/>
    <mergeCell ref="B33:B34"/>
    <mergeCell ref="B23:B24"/>
    <mergeCell ref="B25:B26"/>
    <mergeCell ref="A64:A75"/>
    <mergeCell ref="B64:B67"/>
    <mergeCell ref="B51:B54"/>
    <mergeCell ref="A16:A44"/>
    <mergeCell ref="A47:A50"/>
    <mergeCell ref="B59:B62"/>
    <mergeCell ref="B35:B36"/>
    <mergeCell ref="B16:B22"/>
  </mergeCells>
  <conditionalFormatting sqref="D43:G43">
    <cfRule type="expression" dxfId="77" priority="43">
      <formula>$H$155&gt;0</formula>
    </cfRule>
  </conditionalFormatting>
  <conditionalFormatting sqref="D43:G44">
    <cfRule type="expression" dxfId="76" priority="45">
      <formula>$H$149&gt;0</formula>
    </cfRule>
    <cfRule type="expression" dxfId="75" priority="41">
      <formula>$H$185&gt;0</formula>
    </cfRule>
  </conditionalFormatting>
  <conditionalFormatting sqref="D44:G44">
    <cfRule type="expression" dxfId="74" priority="42">
      <formula>$H$157&gt;0</formula>
    </cfRule>
  </conditionalFormatting>
  <conditionalFormatting sqref="F121:F124">
    <cfRule type="expression" dxfId="73" priority="34">
      <formula>$H$151&gt;0</formula>
    </cfRule>
  </conditionalFormatting>
  <conditionalFormatting sqref="I121:I124">
    <cfRule type="expression" dxfId="72" priority="82">
      <formula>$H$154&gt;0</formula>
    </cfRule>
  </conditionalFormatting>
  <conditionalFormatting sqref="J121:J124">
    <cfRule type="expression" dxfId="71" priority="50">
      <formula>$H$160&gt;0</formula>
    </cfRule>
  </conditionalFormatting>
  <conditionalFormatting sqref="K121:K124">
    <cfRule type="expression" dxfId="70" priority="46">
      <formula>$H$162&gt;0</formula>
    </cfRule>
  </conditionalFormatting>
  <conditionalFormatting sqref="L121:L124">
    <cfRule type="expression" dxfId="69" priority="54">
      <formula>$H$187&gt;0</formula>
    </cfRule>
  </conditionalFormatting>
  <conditionalFormatting sqref="S59:S62">
    <cfRule type="expression" dxfId="68" priority="71">
      <formula>$H$163&gt;0</formula>
    </cfRule>
  </conditionalFormatting>
  <conditionalFormatting sqref="S72:S75">
    <cfRule type="expression" dxfId="67" priority="18">
      <formula>$H$178&gt;0</formula>
    </cfRule>
  </conditionalFormatting>
  <conditionalFormatting sqref="S90:S93">
    <cfRule type="expression" dxfId="66" priority="70">
      <formula>$H$163&gt;0</formula>
    </cfRule>
  </conditionalFormatting>
  <conditionalFormatting sqref="S103:S106">
    <cfRule type="expression" dxfId="65" priority="17">
      <formula>$H$178&gt;0</formula>
    </cfRule>
  </conditionalFormatting>
  <conditionalFormatting sqref="S51:Y54">
    <cfRule type="expression" dxfId="64" priority="53">
      <formula>$H$159&gt;0</formula>
    </cfRule>
  </conditionalFormatting>
  <conditionalFormatting sqref="S55:Y58">
    <cfRule type="expression" dxfId="63" priority="49">
      <formula>$H$161&gt;0</formula>
    </cfRule>
  </conditionalFormatting>
  <conditionalFormatting sqref="S59:Y59 S61:Y61">
    <cfRule type="expression" dxfId="62" priority="75">
      <formula>$H$156&gt;0</formula>
    </cfRule>
    <cfRule type="expression" dxfId="61" priority="38">
      <formula>$H$155&gt;0</formula>
    </cfRule>
  </conditionalFormatting>
  <conditionalFormatting sqref="S59:Y60">
    <cfRule type="expression" dxfId="60" priority="80">
      <formula>$H$150&gt;0</formula>
    </cfRule>
    <cfRule type="expression" dxfId="59" priority="37">
      <formula>$H$149&gt;0</formula>
    </cfRule>
  </conditionalFormatting>
  <conditionalFormatting sqref="S59:Y62">
    <cfRule type="expression" dxfId="58" priority="57">
      <formula>$H$186&gt;0</formula>
    </cfRule>
    <cfRule type="expression" dxfId="57" priority="39">
      <formula>$H$185&gt;0</formula>
    </cfRule>
  </conditionalFormatting>
  <conditionalFormatting sqref="S60:Y60 S62:Y62">
    <cfRule type="expression" dxfId="56" priority="35">
      <formula>$H$157&gt;0</formula>
    </cfRule>
    <cfRule type="expression" dxfId="55" priority="73">
      <formula>$H$158&gt;0</formula>
    </cfRule>
  </conditionalFormatting>
  <conditionalFormatting sqref="S61:Y62">
    <cfRule type="expression" dxfId="54" priority="81">
      <formula>$H$153&gt;0</formula>
    </cfRule>
    <cfRule type="expression" dxfId="53" priority="36">
      <formula>$H$152&gt;0</formula>
    </cfRule>
  </conditionalFormatting>
  <conditionalFormatting sqref="S64:Y67">
    <cfRule type="expression" dxfId="52" priority="22">
      <formula>$H$176&gt;0</formula>
    </cfRule>
  </conditionalFormatting>
  <conditionalFormatting sqref="S68:Y71">
    <cfRule type="expression" dxfId="51" priority="20">
      <formula>$H$177&gt;0</formula>
    </cfRule>
  </conditionalFormatting>
  <conditionalFormatting sqref="S72:Y72 S74:Y74">
    <cfRule type="expression" dxfId="50" priority="27">
      <formula>$H$173&gt;0</formula>
    </cfRule>
    <cfRule type="expression" dxfId="49" priority="28">
      <formula>$H$172&gt;0</formula>
    </cfRule>
  </conditionalFormatting>
  <conditionalFormatting sqref="S72:Y73">
    <cfRule type="expression" dxfId="48" priority="33">
      <formula>$H$170&gt;0</formula>
    </cfRule>
  </conditionalFormatting>
  <conditionalFormatting sqref="S72:Y75">
    <cfRule type="expression" dxfId="47" priority="84">
      <formula>$H$188&gt;0</formula>
    </cfRule>
    <cfRule type="expression" dxfId="46" priority="83">
      <formula>$H$189&gt;0</formula>
    </cfRule>
  </conditionalFormatting>
  <conditionalFormatting sqref="S73:Y73 S75:Y75">
    <cfRule type="expression" dxfId="45" priority="24">
      <formula>$H$175&gt;0</formula>
    </cfRule>
    <cfRule type="expression" dxfId="44" priority="1">
      <formula>$H$174&gt;0</formula>
    </cfRule>
  </conditionalFormatting>
  <conditionalFormatting sqref="S74:Y75">
    <cfRule type="expression" dxfId="43" priority="31">
      <formula>$H$171&gt;0</formula>
    </cfRule>
  </conditionalFormatting>
  <conditionalFormatting sqref="S82:Y85">
    <cfRule type="expression" dxfId="42" priority="52">
      <formula>$H$159&gt;0</formula>
    </cfRule>
    <cfRule type="expression" dxfId="41" priority="51">
      <formula>$H$160&gt;0</formula>
    </cfRule>
  </conditionalFormatting>
  <conditionalFormatting sqref="S86:Y89">
    <cfRule type="expression" dxfId="40" priority="47">
      <formula>$H$162&gt;0</formula>
    </cfRule>
    <cfRule type="expression" dxfId="39" priority="48">
      <formula>$H$161&gt;0</formula>
    </cfRule>
  </conditionalFormatting>
  <conditionalFormatting sqref="S90:Y90 S92:Y92">
    <cfRule type="expression" dxfId="38" priority="74">
      <formula>$H$156&gt;0</formula>
    </cfRule>
  </conditionalFormatting>
  <conditionalFormatting sqref="S90:Y91">
    <cfRule type="expression" dxfId="37" priority="78">
      <formula>$H$151&gt;0</formula>
    </cfRule>
    <cfRule type="expression" dxfId="36" priority="79">
      <formula>$H$150&gt;0</formula>
    </cfRule>
  </conditionalFormatting>
  <conditionalFormatting sqref="S90:Y93">
    <cfRule type="expression" dxfId="35" priority="55">
      <formula>$H$187&gt;0</formula>
    </cfRule>
    <cfRule type="expression" dxfId="34" priority="56">
      <formula>$H$186&gt;0</formula>
    </cfRule>
  </conditionalFormatting>
  <conditionalFormatting sqref="S91:Y91 S93:Y93">
    <cfRule type="expression" dxfId="33" priority="72">
      <formula>$H$158&gt;0</formula>
    </cfRule>
  </conditionalFormatting>
  <conditionalFormatting sqref="S92:Y93">
    <cfRule type="expression" dxfId="32" priority="77">
      <formula>$H$153&gt;0</formula>
    </cfRule>
    <cfRule type="expression" dxfId="31" priority="76">
      <formula>$H$154&gt;0</formula>
    </cfRule>
  </conditionalFormatting>
  <conditionalFormatting sqref="S95:Y98">
    <cfRule type="expression" dxfId="30" priority="21">
      <formula>$H$176&gt;0</formula>
    </cfRule>
  </conditionalFormatting>
  <conditionalFormatting sqref="S99:Y102">
    <cfRule type="expression" dxfId="29" priority="19">
      <formula>$H$177&gt;0</formula>
    </cfRule>
  </conditionalFormatting>
  <conditionalFormatting sqref="S103:Y103 S105:Y105">
    <cfRule type="expression" dxfId="28" priority="26">
      <formula>$H$173&gt;0</formula>
    </cfRule>
  </conditionalFormatting>
  <conditionalFormatting sqref="S103:Y104">
    <cfRule type="expression" dxfId="27" priority="32">
      <formula>$H$170&gt;0</formula>
    </cfRule>
  </conditionalFormatting>
  <conditionalFormatting sqref="S103:Y106">
    <cfRule type="expression" dxfId="26" priority="85">
      <formula>$H$189&gt;0</formula>
    </cfRule>
  </conditionalFormatting>
  <conditionalFormatting sqref="S104:Y104 S106:Y106">
    <cfRule type="expression" dxfId="25" priority="23">
      <formula>$H$175&gt;0</formula>
    </cfRule>
  </conditionalFormatting>
  <conditionalFormatting sqref="S105:Y106">
    <cfRule type="expression" dxfId="24" priority="30">
      <formula>$H$171&gt;0</formula>
    </cfRule>
  </conditionalFormatting>
  <conditionalFormatting sqref="T59:T62">
    <cfRule type="expression" dxfId="23" priority="69">
      <formula>$H$164&gt;0</formula>
    </cfRule>
  </conditionalFormatting>
  <conditionalFormatting sqref="T72:T75">
    <cfRule type="expression" dxfId="22" priority="16">
      <formula>$H$179&gt;0</formula>
    </cfRule>
  </conditionalFormatting>
  <conditionalFormatting sqref="T90:T93">
    <cfRule type="expression" dxfId="21" priority="68">
      <formula>$H$164&gt;0</formula>
    </cfRule>
  </conditionalFormatting>
  <conditionalFormatting sqref="T103:T106">
    <cfRule type="expression" dxfId="20" priority="15">
      <formula>$H$179&gt;0</formula>
    </cfRule>
  </conditionalFormatting>
  <conditionalFormatting sqref="U59:U62">
    <cfRule type="expression" dxfId="19" priority="67">
      <formula>$H$165&gt;0</formula>
    </cfRule>
  </conditionalFormatting>
  <conditionalFormatting sqref="U72:U75">
    <cfRule type="expression" dxfId="18" priority="14">
      <formula>$H$180&gt;0</formula>
    </cfRule>
  </conditionalFormatting>
  <conditionalFormatting sqref="U90:U93">
    <cfRule type="expression" dxfId="17" priority="66">
      <formula>$H$165&gt;0</formula>
    </cfRule>
  </conditionalFormatting>
  <conditionalFormatting sqref="U103:U106">
    <cfRule type="expression" dxfId="16" priority="13">
      <formula>$H$180&gt;0</formula>
    </cfRule>
  </conditionalFormatting>
  <conditionalFormatting sqref="V59:V62">
    <cfRule type="expression" dxfId="15" priority="65">
      <formula>$H$166&gt;0</formula>
    </cfRule>
  </conditionalFormatting>
  <conditionalFormatting sqref="V72:V75">
    <cfRule type="expression" dxfId="14" priority="12">
      <formula>$H$181&gt;0</formula>
    </cfRule>
  </conditionalFormatting>
  <conditionalFormatting sqref="V90:V93">
    <cfRule type="expression" dxfId="13" priority="64">
      <formula>$H$166&gt;0</formula>
    </cfRule>
  </conditionalFormatting>
  <conditionalFormatting sqref="V103:V106">
    <cfRule type="expression" dxfId="12" priority="11">
      <formula>$H$181&gt;0</formula>
    </cfRule>
  </conditionalFormatting>
  <conditionalFormatting sqref="W59:W62">
    <cfRule type="expression" dxfId="11" priority="63">
      <formula>$H$167&gt;0</formula>
    </cfRule>
  </conditionalFormatting>
  <conditionalFormatting sqref="W72:W75">
    <cfRule type="expression" dxfId="10" priority="10">
      <formula>$H$182&gt;0</formula>
    </cfRule>
  </conditionalFormatting>
  <conditionalFormatting sqref="W90:W93">
    <cfRule type="expression" dxfId="9" priority="62">
      <formula>$H$167&gt;0</formula>
    </cfRule>
  </conditionalFormatting>
  <conditionalFormatting sqref="W103:W106">
    <cfRule type="expression" dxfId="8" priority="9">
      <formula>$H$182&gt;0</formula>
    </cfRule>
  </conditionalFormatting>
  <conditionalFormatting sqref="X59:X62">
    <cfRule type="expression" dxfId="7" priority="61">
      <formula>$H$168&gt;0</formula>
    </cfRule>
  </conditionalFormatting>
  <conditionalFormatting sqref="X72:X75">
    <cfRule type="expression" dxfId="6" priority="8">
      <formula>$H$183&gt;0</formula>
    </cfRule>
  </conditionalFormatting>
  <conditionalFormatting sqref="X90:X93">
    <cfRule type="expression" dxfId="5" priority="60">
      <formula>$H$168&gt;0</formula>
    </cfRule>
  </conditionalFormatting>
  <conditionalFormatting sqref="X103:X106">
    <cfRule type="expression" dxfId="4" priority="7">
      <formula>$H$183&gt;0</formula>
    </cfRule>
  </conditionalFormatting>
  <conditionalFormatting sqref="Y59:Y62">
    <cfRule type="expression" dxfId="3" priority="59">
      <formula>$H$169&gt;0</formula>
    </cfRule>
  </conditionalFormatting>
  <conditionalFormatting sqref="Y72:Y75">
    <cfRule type="expression" dxfId="2" priority="6">
      <formula>$H$184&gt;0</formula>
    </cfRule>
  </conditionalFormatting>
  <conditionalFormatting sqref="Y90:Y93">
    <cfRule type="expression" dxfId="1" priority="58">
      <formula>$H$169&gt;0</formula>
    </cfRule>
  </conditionalFormatting>
  <conditionalFormatting sqref="Y103:Y106">
    <cfRule type="expression" dxfId="0" priority="5">
      <formula>$H$184&gt;0</formula>
    </cfRule>
  </conditionalFormatting>
  <hyperlinks>
    <hyperlink ref="D13" r:id="rId1" xr:uid="{A348993C-83DC-4AF5-AE25-D21046908552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D86992-675E-4A1C-B5F4-524C1522066D}">
          <x14:formula1>
            <xm:f>Colleges!$A$2:$A$29</xm:f>
          </x14:formula1>
          <xm:sqref>B7:C8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47A9-A145-4B4B-9AE3-8AA81279AD5C}">
  <dimension ref="B2:D3"/>
  <sheetViews>
    <sheetView workbookViewId="0">
      <selection activeCell="B2" sqref="B2"/>
    </sheetView>
  </sheetViews>
  <sheetFormatPr defaultRowHeight="14.5" x14ac:dyDescent="0.35"/>
  <sheetData>
    <row r="2" spans="2:4" ht="15.5" x14ac:dyDescent="0.35">
      <c r="B2" s="1"/>
      <c r="C2" s="1"/>
      <c r="D2" s="1"/>
    </row>
    <row r="3" spans="2:4" ht="15.5" x14ac:dyDescent="0.35">
      <c r="B3" s="1"/>
      <c r="C3" s="1"/>
      <c r="D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>
      <selection activeCell="A2" sqref="A2:B29"/>
    </sheetView>
  </sheetViews>
  <sheetFormatPr defaultRowHeight="14.5" x14ac:dyDescent="0.35"/>
  <cols>
    <col min="1" max="1" width="27.54296875" customWidth="1"/>
    <col min="2" max="2" width="10.453125" customWidth="1"/>
  </cols>
  <sheetData>
    <row r="1" spans="1:2" x14ac:dyDescent="0.35">
      <c r="A1" t="s">
        <v>253</v>
      </c>
      <c r="B1" t="s">
        <v>254</v>
      </c>
    </row>
    <row r="2" spans="1:2" x14ac:dyDescent="0.35">
      <c r="A2" t="s">
        <v>255</v>
      </c>
    </row>
    <row r="3" spans="1:2" x14ac:dyDescent="0.35">
      <c r="A3" t="s">
        <v>1</v>
      </c>
      <c r="B3">
        <v>7005321</v>
      </c>
    </row>
    <row r="4" spans="1:2" x14ac:dyDescent="0.35">
      <c r="A4" t="s">
        <v>256</v>
      </c>
      <c r="B4">
        <v>1003356</v>
      </c>
    </row>
    <row r="5" spans="1:2" x14ac:dyDescent="0.35">
      <c r="A5" t="s">
        <v>71</v>
      </c>
      <c r="B5">
        <v>5660459</v>
      </c>
    </row>
    <row r="6" spans="1:2" x14ac:dyDescent="0.35">
      <c r="A6" t="s">
        <v>79</v>
      </c>
      <c r="B6">
        <v>8460500</v>
      </c>
    </row>
    <row r="7" spans="1:2" x14ac:dyDescent="0.35">
      <c r="A7" t="s">
        <v>257</v>
      </c>
      <c r="B7">
        <v>1002856</v>
      </c>
    </row>
    <row r="8" spans="1:2" x14ac:dyDescent="0.35">
      <c r="A8" t="s">
        <v>96</v>
      </c>
      <c r="B8">
        <v>5960258</v>
      </c>
    </row>
    <row r="9" spans="1:2" x14ac:dyDescent="0.35">
      <c r="A9" t="s">
        <v>258</v>
      </c>
      <c r="B9">
        <v>1002953</v>
      </c>
    </row>
    <row r="10" spans="1:2" x14ac:dyDescent="0.35">
      <c r="A10" t="s">
        <v>259</v>
      </c>
      <c r="B10">
        <v>5460352</v>
      </c>
    </row>
    <row r="11" spans="1:2" x14ac:dyDescent="0.35">
      <c r="A11" t="s">
        <v>102</v>
      </c>
      <c r="B11">
        <v>5760500</v>
      </c>
    </row>
    <row r="12" spans="1:2" x14ac:dyDescent="0.35">
      <c r="A12" t="s">
        <v>260</v>
      </c>
      <c r="B12">
        <v>1003453</v>
      </c>
    </row>
    <row r="13" spans="1:2" x14ac:dyDescent="0.35">
      <c r="A13" t="s">
        <v>261</v>
      </c>
      <c r="B13">
        <v>1003151</v>
      </c>
    </row>
    <row r="14" spans="1:2" x14ac:dyDescent="0.35">
      <c r="A14" t="s">
        <v>262</v>
      </c>
      <c r="B14">
        <v>5160553</v>
      </c>
    </row>
    <row r="15" spans="1:2" x14ac:dyDescent="0.35">
      <c r="A15" t="s">
        <v>114</v>
      </c>
      <c r="B15">
        <v>6232655</v>
      </c>
    </row>
    <row r="16" spans="1:2" x14ac:dyDescent="0.35">
      <c r="A16" t="s">
        <v>117</v>
      </c>
      <c r="B16">
        <v>5260051</v>
      </c>
    </row>
    <row r="17" spans="1:2" x14ac:dyDescent="0.35">
      <c r="A17" t="s">
        <v>263</v>
      </c>
      <c r="B17">
        <v>1003550</v>
      </c>
    </row>
    <row r="18" spans="1:2" x14ac:dyDescent="0.35">
      <c r="A18" t="s">
        <v>163</v>
      </c>
      <c r="B18">
        <v>5560853</v>
      </c>
    </row>
    <row r="19" spans="1:2" x14ac:dyDescent="0.35">
      <c r="A19" t="s">
        <v>264</v>
      </c>
      <c r="B19">
        <v>5261651</v>
      </c>
    </row>
    <row r="20" spans="1:2" x14ac:dyDescent="0.35">
      <c r="A20" t="s">
        <v>265</v>
      </c>
      <c r="B20">
        <v>5160057</v>
      </c>
    </row>
    <row r="21" spans="1:2" x14ac:dyDescent="0.35">
      <c r="A21" t="s">
        <v>266</v>
      </c>
      <c r="B21">
        <v>6002757</v>
      </c>
    </row>
    <row r="22" spans="1:2" x14ac:dyDescent="0.35">
      <c r="A22" t="s">
        <v>267</v>
      </c>
      <c r="B22">
        <v>5360455</v>
      </c>
    </row>
    <row r="23" spans="1:2" x14ac:dyDescent="0.35">
      <c r="A23" t="s">
        <v>268</v>
      </c>
      <c r="B23">
        <v>5160650</v>
      </c>
    </row>
    <row r="24" spans="1:2" x14ac:dyDescent="0.35">
      <c r="A24" t="s">
        <v>269</v>
      </c>
      <c r="B24">
        <v>6103650</v>
      </c>
    </row>
    <row r="25" spans="1:2" x14ac:dyDescent="0.35">
      <c r="A25" t="s">
        <v>270</v>
      </c>
      <c r="B25">
        <v>1003259</v>
      </c>
    </row>
    <row r="26" spans="1:2" x14ac:dyDescent="0.35">
      <c r="A26" t="s">
        <v>143</v>
      </c>
      <c r="B26">
        <v>8461652</v>
      </c>
    </row>
    <row r="27" spans="1:2" x14ac:dyDescent="0.35">
      <c r="A27" t="s">
        <v>271</v>
      </c>
      <c r="B27">
        <v>1003054</v>
      </c>
    </row>
    <row r="28" spans="1:2" x14ac:dyDescent="0.35">
      <c r="A28" t="s">
        <v>272</v>
      </c>
      <c r="B28">
        <v>3004325</v>
      </c>
    </row>
    <row r="29" spans="1:2" x14ac:dyDescent="0.35">
      <c r="A29" t="s">
        <v>151</v>
      </c>
      <c r="B29">
        <v>5560659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MYDOC-952800175-37076</_dlc_DocId>
    <_dlc_DocIdUrl xmlns="76699e94-5373-4908-8786-85f2fbc6030f">
      <Url>https://sfcacuk.sharepoint.com/sites/MyDoc/_layouts/15/DocIdRedir.aspx?ID=MYDOC-952800175-37076</Url>
      <Description>MYDOC-952800175-37076</Description>
    </_dlc_DocIdUrl>
    <TaxCatchAll xmlns="76699e94-5373-4908-8786-85f2fbc6030f" xsi:nil="true"/>
    <EmailCC xmlns="846980c5-3db8-44b0-935b-312affdd1e17" xsi:nil="true"/>
    <OfficialDate xmlns="846980c5-3db8-44b0-935b-312affdd1e17" xsi:nil="true"/>
    <MigratedLivelinkNodeID xmlns="846980c5-3db8-44b0-935b-312affdd1e17" xsi:nil="true"/>
    <EmailFrom xmlns="846980c5-3db8-44b0-935b-312affdd1e17" xsi:nil="true"/>
    <EmailTo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Thumbnail xmlns="846980c5-3db8-44b0-935b-312affdd1e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b2e2588b3d8786bb3fe67d9f77442e59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fe051b9053f51d5a28cf00c1fd42bfb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09BB4-8531-4642-9024-EC6BE4FAF7F2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76699e94-5373-4908-8786-85f2fbc6030f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46980c5-3db8-44b0-935b-312affdd1e1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DD11AA-5E40-4FCC-91F5-1EA4558113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598A3F-3C7C-4554-BE67-DAD84549B76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E7FE910-0537-4732-BC55-1F848A9AA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FTE</vt:lpstr>
      <vt:lpstr>Headcount</vt:lpstr>
      <vt:lpstr>Sheet2</vt:lpstr>
      <vt:lpstr>Colleges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Staffing Return for 2022-23</dc:title>
  <dc:subject/>
  <dc:creator>Michelle McNeill</dc:creator>
  <cp:keywords/>
  <dc:description/>
  <cp:lastModifiedBy>Michelle McNeill</cp:lastModifiedBy>
  <cp:revision/>
  <dcterms:created xsi:type="dcterms:W3CDTF">2016-05-06T09:20:48Z</dcterms:created>
  <dcterms:modified xsi:type="dcterms:W3CDTF">2026-06-19T10:21:50Z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c7c29e26-6f36-4b64-8fd0-218432f88f00</vt:lpwstr>
  </property>
  <property fmtid="{D5CDD505-2E9C-101B-9397-08002B2CF9AE}" pid="4" name="MediaServiceImageTags">
    <vt:lpwstr/>
  </property>
  <property fmtid="{D5CDD505-2E9C-101B-9397-08002B2CF9AE}" pid="5" name="MSIP_Label_39b5bd04-dd11-448c-93c0-32702bb7201c_Enabled">
    <vt:lpwstr>true</vt:lpwstr>
  </property>
  <property fmtid="{D5CDD505-2E9C-101B-9397-08002B2CF9AE}" pid="6" name="MSIP_Label_39b5bd04-dd11-448c-93c0-32702bb7201c_SetDate">
    <vt:lpwstr>2025-04-28T08:16:37Z</vt:lpwstr>
  </property>
  <property fmtid="{D5CDD505-2E9C-101B-9397-08002B2CF9AE}" pid="7" name="MSIP_Label_39b5bd04-dd11-448c-93c0-32702bb7201c_Method">
    <vt:lpwstr>Standard</vt:lpwstr>
  </property>
  <property fmtid="{D5CDD505-2E9C-101B-9397-08002B2CF9AE}" pid="8" name="MSIP_Label_39b5bd04-dd11-448c-93c0-32702bb7201c_Name">
    <vt:lpwstr>Official Classification</vt:lpwstr>
  </property>
  <property fmtid="{D5CDD505-2E9C-101B-9397-08002B2CF9AE}" pid="9" name="MSIP_Label_39b5bd04-dd11-448c-93c0-32702bb7201c_SiteId">
    <vt:lpwstr>6f8ea4cf-6f3c-4fb3-b802-4af29d81df7e</vt:lpwstr>
  </property>
  <property fmtid="{D5CDD505-2E9C-101B-9397-08002B2CF9AE}" pid="10" name="MSIP_Label_39b5bd04-dd11-448c-93c0-32702bb7201c_ActionId">
    <vt:lpwstr>3f69eeac-3771-4d83-83a9-31950891906c</vt:lpwstr>
  </property>
  <property fmtid="{D5CDD505-2E9C-101B-9397-08002B2CF9AE}" pid="11" name="MSIP_Label_39b5bd04-dd11-448c-93c0-32702bb7201c_ContentBits">
    <vt:lpwstr>0</vt:lpwstr>
  </property>
  <property fmtid="{D5CDD505-2E9C-101B-9397-08002B2CF9AE}" pid="12" name="MSIP_Label_39b5bd04-dd11-448c-93c0-32702bb7201c_Tag">
    <vt:lpwstr>10, 3, 0, 2</vt:lpwstr>
  </property>
</Properties>
</file>