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-my.sharepoint.com/personal/mmcneill_sfc_ac_uk/Documents/Desktop/"/>
    </mc:Choice>
  </mc:AlternateContent>
  <xr:revisionPtr revIDLastSave="0" documentId="14_{2F6BAA4E-7CF8-4C90-92D9-C7FA99C6AC5C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FTEs" sheetId="7" r:id="rId1"/>
    <sheet name="Headcounts" sheetId="6" r:id="rId2"/>
    <sheet name="Colleges" sheetId="3" state="hidden" r:id="rId3"/>
    <sheet name="Sheet1" sheetId="8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7" l="1"/>
  <c r="E33" i="7" s="1"/>
  <c r="D36" i="7"/>
  <c r="D35" i="7"/>
  <c r="D38" i="7"/>
  <c r="D40" i="7"/>
  <c r="D39" i="7"/>
  <c r="D37" i="7"/>
  <c r="D34" i="7"/>
  <c r="D32" i="7"/>
  <c r="D31" i="7"/>
  <c r="D30" i="7"/>
  <c r="D29" i="7"/>
  <c r="D142" i="6"/>
  <c r="E142" i="6"/>
  <c r="F142" i="6"/>
  <c r="G140" i="6"/>
  <c r="G141" i="6"/>
  <c r="C142" i="6"/>
  <c r="H10" i="7"/>
  <c r="D43" i="6" l="1"/>
  <c r="E44" i="6"/>
  <c r="F44" i="6"/>
  <c r="E43" i="6"/>
  <c r="F43" i="6"/>
  <c r="G43" i="6"/>
  <c r="G44" i="6" l="1"/>
  <c r="D44" i="6"/>
  <c r="H24" i="6"/>
  <c r="H25" i="6"/>
  <c r="H26" i="6"/>
  <c r="H27" i="6"/>
  <c r="H28" i="6"/>
  <c r="H29" i="6"/>
  <c r="H30" i="6"/>
  <c r="H31" i="6"/>
  <c r="H32" i="6"/>
  <c r="H33" i="6"/>
  <c r="H34" i="6"/>
  <c r="H23" i="6"/>
  <c r="G19" i="7" l="1"/>
  <c r="G18" i="7"/>
  <c r="F19" i="7"/>
  <c r="F18" i="7"/>
  <c r="H12" i="7" l="1"/>
  <c r="H19" i="7"/>
  <c r="H18" i="7"/>
  <c r="G20" i="7" l="1"/>
  <c r="F20" i="7"/>
  <c r="G17" i="7"/>
  <c r="F17" i="7"/>
  <c r="G14" i="7"/>
  <c r="F14" i="7"/>
  <c r="G139" i="6" l="1"/>
  <c r="AB134" i="6"/>
  <c r="AB133" i="6"/>
  <c r="AB131" i="6"/>
  <c r="G136" i="6"/>
  <c r="AB129" i="6" l="1"/>
  <c r="AB130" i="6"/>
  <c r="C143" i="6"/>
  <c r="G142" i="6"/>
  <c r="AB135" i="6" s="1"/>
  <c r="H20" i="7"/>
  <c r="G138" i="6" l="1"/>
  <c r="G137" i="6"/>
  <c r="G135" i="6"/>
  <c r="G134" i="6"/>
  <c r="G133" i="6"/>
  <c r="K124" i="6"/>
  <c r="J124" i="6"/>
  <c r="H124" i="6"/>
  <c r="G124" i="6"/>
  <c r="E124" i="6"/>
  <c r="D124" i="6"/>
  <c r="K123" i="6"/>
  <c r="J123" i="6"/>
  <c r="H123" i="6"/>
  <c r="G123" i="6"/>
  <c r="E123" i="6"/>
  <c r="D123" i="6"/>
  <c r="K122" i="6"/>
  <c r="J122" i="6"/>
  <c r="H122" i="6"/>
  <c r="G122" i="6"/>
  <c r="E122" i="6"/>
  <c r="D122" i="6"/>
  <c r="K121" i="6"/>
  <c r="J121" i="6"/>
  <c r="H121" i="6"/>
  <c r="G121" i="6"/>
  <c r="E121" i="6"/>
  <c r="D121" i="6"/>
  <c r="L120" i="6"/>
  <c r="I120" i="6"/>
  <c r="F120" i="6"/>
  <c r="L119" i="6"/>
  <c r="I119" i="6"/>
  <c r="F119" i="6"/>
  <c r="L118" i="6"/>
  <c r="I118" i="6"/>
  <c r="F118" i="6"/>
  <c r="L117" i="6"/>
  <c r="I117" i="6"/>
  <c r="F117" i="6"/>
  <c r="L116" i="6"/>
  <c r="I116" i="6"/>
  <c r="F116" i="6"/>
  <c r="L115" i="6"/>
  <c r="I115" i="6"/>
  <c r="F115" i="6"/>
  <c r="L114" i="6"/>
  <c r="I114" i="6"/>
  <c r="F114" i="6"/>
  <c r="L113" i="6"/>
  <c r="I113" i="6"/>
  <c r="F113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Y102" i="6"/>
  <c r="X102" i="6"/>
  <c r="W102" i="6"/>
  <c r="V102" i="6"/>
  <c r="U102" i="6"/>
  <c r="T102" i="6"/>
  <c r="S102" i="6"/>
  <c r="Y101" i="6"/>
  <c r="X101" i="6"/>
  <c r="W101" i="6"/>
  <c r="V101" i="6"/>
  <c r="U101" i="6"/>
  <c r="T101" i="6"/>
  <c r="S101" i="6"/>
  <c r="Y100" i="6"/>
  <c r="X100" i="6"/>
  <c r="W100" i="6"/>
  <c r="V100" i="6"/>
  <c r="U100" i="6"/>
  <c r="T100" i="6"/>
  <c r="S100" i="6"/>
  <c r="Y99" i="6"/>
  <c r="X99" i="6"/>
  <c r="W99" i="6"/>
  <c r="V99" i="6"/>
  <c r="U99" i="6"/>
  <c r="T99" i="6"/>
  <c r="S99" i="6"/>
  <c r="Y98" i="6"/>
  <c r="X98" i="6"/>
  <c r="W98" i="6"/>
  <c r="V98" i="6"/>
  <c r="U98" i="6"/>
  <c r="T98" i="6"/>
  <c r="S98" i="6"/>
  <c r="S106" i="6" s="1"/>
  <c r="Y97" i="6"/>
  <c r="X97" i="6"/>
  <c r="W97" i="6"/>
  <c r="V97" i="6"/>
  <c r="U97" i="6"/>
  <c r="T97" i="6"/>
  <c r="T105" i="6" s="1"/>
  <c r="S97" i="6"/>
  <c r="Y96" i="6"/>
  <c r="X96" i="6"/>
  <c r="W96" i="6"/>
  <c r="V96" i="6"/>
  <c r="U96" i="6"/>
  <c r="T96" i="6"/>
  <c r="S96" i="6"/>
  <c r="Y95" i="6"/>
  <c r="X95" i="6"/>
  <c r="W95" i="6"/>
  <c r="V95" i="6"/>
  <c r="U95" i="6"/>
  <c r="T95" i="6"/>
  <c r="S95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Y89" i="6"/>
  <c r="X89" i="6"/>
  <c r="W89" i="6"/>
  <c r="V89" i="6"/>
  <c r="U89" i="6"/>
  <c r="T89" i="6"/>
  <c r="S89" i="6"/>
  <c r="Y88" i="6"/>
  <c r="X88" i="6"/>
  <c r="W88" i="6"/>
  <c r="V88" i="6"/>
  <c r="U88" i="6"/>
  <c r="T88" i="6"/>
  <c r="S88" i="6"/>
  <c r="Y87" i="6"/>
  <c r="X87" i="6"/>
  <c r="W87" i="6"/>
  <c r="V87" i="6"/>
  <c r="U87" i="6"/>
  <c r="T87" i="6"/>
  <c r="S87" i="6"/>
  <c r="Y86" i="6"/>
  <c r="X86" i="6"/>
  <c r="W86" i="6"/>
  <c r="V86" i="6"/>
  <c r="U86" i="6"/>
  <c r="T86" i="6"/>
  <c r="S86" i="6"/>
  <c r="Y85" i="6"/>
  <c r="X85" i="6"/>
  <c r="W85" i="6"/>
  <c r="W93" i="6" s="1"/>
  <c r="V85" i="6"/>
  <c r="U85" i="6"/>
  <c r="T85" i="6"/>
  <c r="S85" i="6"/>
  <c r="Y84" i="6"/>
  <c r="Y92" i="6" s="1"/>
  <c r="X84" i="6"/>
  <c r="W84" i="6"/>
  <c r="V84" i="6"/>
  <c r="U84" i="6"/>
  <c r="T84" i="6"/>
  <c r="S84" i="6"/>
  <c r="Y83" i="6"/>
  <c r="Y91" i="6" s="1"/>
  <c r="X83" i="6"/>
  <c r="W83" i="6"/>
  <c r="V83" i="6"/>
  <c r="U83" i="6"/>
  <c r="T83" i="6"/>
  <c r="S83" i="6"/>
  <c r="S91" i="6" s="1"/>
  <c r="Y82" i="6"/>
  <c r="X82" i="6"/>
  <c r="W82" i="6"/>
  <c r="V82" i="6"/>
  <c r="U82" i="6"/>
  <c r="U90" i="6" s="1"/>
  <c r="T82" i="6"/>
  <c r="T90" i="6" s="1"/>
  <c r="S82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Y71" i="6"/>
  <c r="X71" i="6"/>
  <c r="W71" i="6"/>
  <c r="V71" i="6"/>
  <c r="U71" i="6"/>
  <c r="T71" i="6"/>
  <c r="S71" i="6"/>
  <c r="Y70" i="6"/>
  <c r="X70" i="6"/>
  <c r="W70" i="6"/>
  <c r="V70" i="6"/>
  <c r="U70" i="6"/>
  <c r="T70" i="6"/>
  <c r="S70" i="6"/>
  <c r="Y69" i="6"/>
  <c r="X69" i="6"/>
  <c r="W69" i="6"/>
  <c r="V69" i="6"/>
  <c r="U69" i="6"/>
  <c r="T69" i="6"/>
  <c r="S69" i="6"/>
  <c r="Y68" i="6"/>
  <c r="X68" i="6"/>
  <c r="W68" i="6"/>
  <c r="V68" i="6"/>
  <c r="U68" i="6"/>
  <c r="T68" i="6"/>
  <c r="S68" i="6"/>
  <c r="Y67" i="6"/>
  <c r="X67" i="6"/>
  <c r="W67" i="6"/>
  <c r="V67" i="6"/>
  <c r="U67" i="6"/>
  <c r="T67" i="6"/>
  <c r="S67" i="6"/>
  <c r="Y66" i="6"/>
  <c r="X66" i="6"/>
  <c r="W66" i="6"/>
  <c r="V66" i="6"/>
  <c r="U66" i="6"/>
  <c r="T66" i="6"/>
  <c r="S66" i="6"/>
  <c r="Y65" i="6"/>
  <c r="X65" i="6"/>
  <c r="W65" i="6"/>
  <c r="V65" i="6"/>
  <c r="U65" i="6"/>
  <c r="T65" i="6"/>
  <c r="S65" i="6"/>
  <c r="Y64" i="6"/>
  <c r="X64" i="6"/>
  <c r="X72" i="6" s="1"/>
  <c r="W64" i="6"/>
  <c r="V64" i="6"/>
  <c r="U64" i="6"/>
  <c r="T64" i="6"/>
  <c r="S64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Y58" i="6"/>
  <c r="X58" i="6"/>
  <c r="W58" i="6"/>
  <c r="V58" i="6"/>
  <c r="U58" i="6"/>
  <c r="T58" i="6"/>
  <c r="S58" i="6"/>
  <c r="Y57" i="6"/>
  <c r="X57" i="6"/>
  <c r="W57" i="6"/>
  <c r="V57" i="6"/>
  <c r="U57" i="6"/>
  <c r="T57" i="6"/>
  <c r="S57" i="6"/>
  <c r="Y56" i="6"/>
  <c r="X56" i="6"/>
  <c r="W56" i="6"/>
  <c r="V56" i="6"/>
  <c r="U56" i="6"/>
  <c r="T56" i="6"/>
  <c r="S56" i="6"/>
  <c r="Y55" i="6"/>
  <c r="X55" i="6"/>
  <c r="W55" i="6"/>
  <c r="V55" i="6"/>
  <c r="U55" i="6"/>
  <c r="T55" i="6"/>
  <c r="S55" i="6"/>
  <c r="Y54" i="6"/>
  <c r="Y62" i="6" s="1"/>
  <c r="X54" i="6"/>
  <c r="X62" i="6" s="1"/>
  <c r="W54" i="6"/>
  <c r="V54" i="6"/>
  <c r="U54" i="6"/>
  <c r="T54" i="6"/>
  <c r="S54" i="6"/>
  <c r="Y53" i="6"/>
  <c r="X53" i="6"/>
  <c r="W53" i="6"/>
  <c r="V53" i="6"/>
  <c r="U53" i="6"/>
  <c r="T53" i="6"/>
  <c r="S53" i="6"/>
  <c r="S61" i="6" s="1"/>
  <c r="Y52" i="6"/>
  <c r="X52" i="6"/>
  <c r="W52" i="6"/>
  <c r="V52" i="6"/>
  <c r="U52" i="6"/>
  <c r="T52" i="6"/>
  <c r="S52" i="6"/>
  <c r="Y51" i="6"/>
  <c r="X51" i="6"/>
  <c r="W51" i="6"/>
  <c r="V51" i="6"/>
  <c r="V59" i="6" s="1"/>
  <c r="U51" i="6"/>
  <c r="T51" i="6"/>
  <c r="S51" i="6"/>
  <c r="H42" i="6"/>
  <c r="H41" i="6"/>
  <c r="H40" i="6"/>
  <c r="H39" i="6"/>
  <c r="H38" i="6"/>
  <c r="H37" i="6"/>
  <c r="H36" i="6"/>
  <c r="H35" i="6"/>
  <c r="H16" i="7"/>
  <c r="H15" i="7"/>
  <c r="H13" i="7"/>
  <c r="H14" i="7" s="1"/>
  <c r="U104" i="6" l="1"/>
  <c r="Y106" i="6"/>
  <c r="W103" i="6"/>
  <c r="S90" i="6"/>
  <c r="T91" i="6"/>
  <c r="X92" i="6"/>
  <c r="U75" i="6"/>
  <c r="V74" i="6"/>
  <c r="T61" i="6"/>
  <c r="Y72" i="6"/>
  <c r="W74" i="6"/>
  <c r="X106" i="6"/>
  <c r="X91" i="6"/>
  <c r="U62" i="6"/>
  <c r="T72" i="6"/>
  <c r="T92" i="6"/>
  <c r="W60" i="6"/>
  <c r="S73" i="6"/>
  <c r="W75" i="6"/>
  <c r="V90" i="6"/>
  <c r="Y93" i="6"/>
  <c r="X103" i="6"/>
  <c r="V105" i="6"/>
  <c r="W61" i="6"/>
  <c r="Y74" i="6"/>
  <c r="W90" i="6"/>
  <c r="U92" i="6"/>
  <c r="X104" i="6"/>
  <c r="W105" i="6"/>
  <c r="X59" i="6"/>
  <c r="AB65" i="6" s="1"/>
  <c r="Y73" i="6"/>
  <c r="S93" i="6"/>
  <c r="W104" i="6"/>
  <c r="AD91" i="6" s="1"/>
  <c r="X61" i="6"/>
  <c r="U73" i="6"/>
  <c r="Y75" i="6"/>
  <c r="X90" i="6"/>
  <c r="U93" i="6"/>
  <c r="T103" i="6"/>
  <c r="S104" i="6"/>
  <c r="Y104" i="6"/>
  <c r="X105" i="6"/>
  <c r="W106" i="6"/>
  <c r="U105" i="6"/>
  <c r="T106" i="6"/>
  <c r="V92" i="6"/>
  <c r="U91" i="6"/>
  <c r="T75" i="6"/>
  <c r="T73" i="6"/>
  <c r="Y60" i="6"/>
  <c r="W59" i="6"/>
  <c r="S59" i="6"/>
  <c r="H17" i="7"/>
  <c r="U106" i="6"/>
  <c r="S105" i="6"/>
  <c r="Y103" i="6"/>
  <c r="V104" i="6"/>
  <c r="V103" i="6"/>
  <c r="Y90" i="6"/>
  <c r="V93" i="6"/>
  <c r="V91" i="6"/>
  <c r="X93" i="6"/>
  <c r="W92" i="6"/>
  <c r="W91" i="6"/>
  <c r="T93" i="6"/>
  <c r="S92" i="6"/>
  <c r="X75" i="6"/>
  <c r="X73" i="6"/>
  <c r="W73" i="6"/>
  <c r="V75" i="6"/>
  <c r="V73" i="6"/>
  <c r="U74" i="6"/>
  <c r="U72" i="6"/>
  <c r="S75" i="6"/>
  <c r="S74" i="6"/>
  <c r="X60" i="6"/>
  <c r="U60" i="6"/>
  <c r="T60" i="6"/>
  <c r="T62" i="6"/>
  <c r="S60" i="6"/>
  <c r="G45" i="6"/>
  <c r="F45" i="6"/>
  <c r="U103" i="6"/>
  <c r="Y105" i="6"/>
  <c r="F121" i="6"/>
  <c r="I122" i="6"/>
  <c r="L123" i="6"/>
  <c r="I124" i="6"/>
  <c r="I123" i="6"/>
  <c r="T104" i="6"/>
  <c r="V106" i="6"/>
  <c r="AD56" i="6"/>
  <c r="AB35" i="6"/>
  <c r="AB36" i="6"/>
  <c r="AB54" i="6"/>
  <c r="H36" i="7" s="1"/>
  <c r="AB17" i="6"/>
  <c r="U61" i="6"/>
  <c r="Y61" i="6"/>
  <c r="V62" i="6"/>
  <c r="AB116" i="6"/>
  <c r="F122" i="6"/>
  <c r="F124" i="6"/>
  <c r="L124" i="6"/>
  <c r="AB51" i="6"/>
  <c r="H34" i="7" s="1"/>
  <c r="L122" i="6"/>
  <c r="V61" i="6"/>
  <c r="AD53" i="6"/>
  <c r="AD84" i="6"/>
  <c r="I121" i="6"/>
  <c r="F123" i="6"/>
  <c r="AB18" i="6"/>
  <c r="AB21" i="6"/>
  <c r="U59" i="6"/>
  <c r="Y59" i="6"/>
  <c r="V60" i="6"/>
  <c r="S62" i="6"/>
  <c r="W62" i="6"/>
  <c r="AD51" i="6"/>
  <c r="AD54" i="6"/>
  <c r="E45" i="6"/>
  <c r="AB19" i="6"/>
  <c r="H44" i="6"/>
  <c r="AB22" i="6"/>
  <c r="AB56" i="6"/>
  <c r="T59" i="6"/>
  <c r="AB55" i="6"/>
  <c r="AB20" i="6"/>
  <c r="D45" i="6"/>
  <c r="H43" i="6"/>
  <c r="AB53" i="6"/>
  <c r="L121" i="6"/>
  <c r="AB115" i="6"/>
  <c r="AB50" i="6"/>
  <c r="AD55" i="6"/>
  <c r="AD50" i="6"/>
  <c r="S103" i="6"/>
  <c r="AD83" i="6"/>
  <c r="V72" i="6"/>
  <c r="AB83" i="6"/>
  <c r="AB84" i="6"/>
  <c r="E143" i="6"/>
  <c r="AB132" i="6" s="1"/>
  <c r="S72" i="6"/>
  <c r="W72" i="6"/>
  <c r="T74" i="6"/>
  <c r="X74" i="6"/>
  <c r="AD66" i="6" l="1"/>
  <c r="AB87" i="6"/>
  <c r="AB88" i="6"/>
  <c r="AD92" i="6"/>
  <c r="AB89" i="6"/>
  <c r="AD93" i="6"/>
  <c r="H184" i="6" s="1"/>
  <c r="G184" i="6" s="1"/>
  <c r="AD88" i="6"/>
  <c r="AB64" i="6"/>
  <c r="AD89" i="6"/>
  <c r="AB90" i="6"/>
  <c r="AD61" i="6"/>
  <c r="AB81" i="6"/>
  <c r="AB93" i="6"/>
  <c r="AD64" i="6"/>
  <c r="E182" i="6" s="1"/>
  <c r="AB91" i="6"/>
  <c r="AB86" i="6"/>
  <c r="AB85" i="6"/>
  <c r="AB80" i="6"/>
  <c r="AB92" i="6"/>
  <c r="E168" i="6" s="1"/>
  <c r="AB82" i="6"/>
  <c r="AD62" i="6"/>
  <c r="AD58" i="6"/>
  <c r="E174" i="6" s="1"/>
  <c r="AD65" i="6"/>
  <c r="AB59" i="6"/>
  <c r="D163" i="6" s="1"/>
  <c r="AD82" i="6"/>
  <c r="AB114" i="6"/>
  <c r="H177" i="6"/>
  <c r="G177" i="6" s="1"/>
  <c r="AD90" i="6"/>
  <c r="AD86" i="6"/>
  <c r="H45" i="6"/>
  <c r="D177" i="6"/>
  <c r="AB112" i="6"/>
  <c r="AB61" i="6"/>
  <c r="AB66" i="6"/>
  <c r="AB113" i="6"/>
  <c r="AB52" i="6"/>
  <c r="AB49" i="6"/>
  <c r="AB58" i="6"/>
  <c r="E177" i="6"/>
  <c r="AB62" i="6"/>
  <c r="AD52" i="6"/>
  <c r="I135" i="6"/>
  <c r="H160" i="6"/>
  <c r="G160" i="6" s="1"/>
  <c r="E160" i="6"/>
  <c r="D160" i="6"/>
  <c r="H162" i="6"/>
  <c r="G162" i="6" s="1"/>
  <c r="E162" i="6"/>
  <c r="D162" i="6"/>
  <c r="AD87" i="6"/>
  <c r="AD80" i="6"/>
  <c r="AD85" i="6"/>
  <c r="AD81" i="6"/>
  <c r="H176" i="6"/>
  <c r="G176" i="6" s="1"/>
  <c r="E176" i="6"/>
  <c r="D176" i="6"/>
  <c r="E184" i="6"/>
  <c r="D184" i="6"/>
  <c r="H159" i="6"/>
  <c r="G159" i="6" s="1"/>
  <c r="E159" i="6"/>
  <c r="D159" i="6"/>
  <c r="AD60" i="6"/>
  <c r="AB60" i="6"/>
  <c r="AB57" i="6"/>
  <c r="D155" i="6" s="1"/>
  <c r="AB48" i="6"/>
  <c r="I134" i="6"/>
  <c r="I133" i="6"/>
  <c r="AD48" i="6"/>
  <c r="AD59" i="6"/>
  <c r="AD49" i="6"/>
  <c r="AD57" i="6"/>
  <c r="H161" i="6"/>
  <c r="G161" i="6" s="1"/>
  <c r="E161" i="6"/>
  <c r="D161" i="6"/>
  <c r="H183" i="6" l="1"/>
  <c r="G183" i="6" s="1"/>
  <c r="H168" i="6"/>
  <c r="G168" i="6" s="1"/>
  <c r="H165" i="6"/>
  <c r="G165" i="6" s="1"/>
  <c r="H185" i="6"/>
  <c r="G185" i="6" s="1"/>
  <c r="E188" i="6"/>
  <c r="D189" i="6"/>
  <c r="D188" i="6"/>
  <c r="H180" i="6"/>
  <c r="G180" i="6" s="1"/>
  <c r="D180" i="6"/>
  <c r="H166" i="6"/>
  <c r="G166" i="6" s="1"/>
  <c r="H182" i="6"/>
  <c r="G182" i="6" s="1"/>
  <c r="E180" i="6"/>
  <c r="D167" i="6"/>
  <c r="D169" i="6"/>
  <c r="E150" i="6"/>
  <c r="D182" i="6"/>
  <c r="H151" i="6"/>
  <c r="G151" i="6" s="1"/>
  <c r="H163" i="6"/>
  <c r="G163" i="6" s="1"/>
  <c r="E163" i="6"/>
  <c r="H167" i="6"/>
  <c r="G167" i="6" s="1"/>
  <c r="D168" i="6"/>
  <c r="E167" i="6"/>
  <c r="H158" i="6"/>
  <c r="G158" i="6" s="1"/>
  <c r="E187" i="6"/>
  <c r="H153" i="6"/>
  <c r="G153" i="6" s="1"/>
  <c r="H154" i="6"/>
  <c r="G154" i="6" s="1"/>
  <c r="D183" i="6"/>
  <c r="E183" i="6"/>
  <c r="D181" i="6"/>
  <c r="H175" i="6"/>
  <c r="G175" i="6" s="1"/>
  <c r="H174" i="6"/>
  <c r="G174" i="6" s="1"/>
  <c r="D174" i="6"/>
  <c r="E171" i="6"/>
  <c r="D154" i="6"/>
  <c r="E181" i="6"/>
  <c r="D151" i="6"/>
  <c r="E154" i="6"/>
  <c r="E149" i="6"/>
  <c r="D171" i="6"/>
  <c r="H171" i="6"/>
  <c r="G171" i="6" s="1"/>
  <c r="H169" i="6"/>
  <c r="G169" i="6" s="1"/>
  <c r="D175" i="6"/>
  <c r="H181" i="6"/>
  <c r="G181" i="6" s="1"/>
  <c r="D150" i="6"/>
  <c r="E175" i="6"/>
  <c r="H152" i="6"/>
  <c r="G152" i="6" s="1"/>
  <c r="D165" i="6"/>
  <c r="H187" i="6"/>
  <c r="G187" i="6" s="1"/>
  <c r="D152" i="6"/>
  <c r="H149" i="6"/>
  <c r="G149" i="6" s="1"/>
  <c r="H150" i="6"/>
  <c r="G150" i="6" s="1"/>
  <c r="E151" i="6"/>
  <c r="E165" i="6"/>
  <c r="D187" i="6"/>
  <c r="I143" i="6"/>
  <c r="I129" i="6" s="1"/>
  <c r="E169" i="6"/>
  <c r="E152" i="6"/>
  <c r="D153" i="6"/>
  <c r="E153" i="6"/>
  <c r="E157" i="6"/>
  <c r="D158" i="6"/>
  <c r="D149" i="6"/>
  <c r="D157" i="6"/>
  <c r="E166" i="6"/>
  <c r="E158" i="6"/>
  <c r="H157" i="6"/>
  <c r="G157" i="6" s="1"/>
  <c r="D166" i="6"/>
  <c r="H173" i="6"/>
  <c r="G173" i="6" s="1"/>
  <c r="E173" i="6"/>
  <c r="D173" i="6"/>
  <c r="D172" i="6"/>
  <c r="H172" i="6"/>
  <c r="G172" i="6" s="1"/>
  <c r="E172" i="6"/>
  <c r="H188" i="6"/>
  <c r="G188" i="6" s="1"/>
  <c r="H186" i="6"/>
  <c r="G186" i="6" s="1"/>
  <c r="E186" i="6"/>
  <c r="D186" i="6"/>
  <c r="D185" i="6"/>
  <c r="E185" i="6"/>
  <c r="H156" i="6"/>
  <c r="G156" i="6" s="1"/>
  <c r="E156" i="6"/>
  <c r="D156" i="6"/>
  <c r="E155" i="6"/>
  <c r="H164" i="6"/>
  <c r="G164" i="6" s="1"/>
  <c r="E164" i="6"/>
  <c r="D164" i="6"/>
  <c r="H179" i="6"/>
  <c r="G179" i="6" s="1"/>
  <c r="E179" i="6"/>
  <c r="D179" i="6"/>
  <c r="H155" i="6"/>
  <c r="G155" i="6" s="1"/>
  <c r="H170" i="6"/>
  <c r="G170" i="6" s="1"/>
  <c r="E170" i="6"/>
  <c r="D170" i="6"/>
  <c r="H178" i="6"/>
  <c r="G178" i="6" s="1"/>
  <c r="E178" i="6"/>
  <c r="D178" i="6"/>
  <c r="H189" i="6"/>
  <c r="E189" i="6"/>
  <c r="F3" i="7"/>
  <c r="E40" i="7"/>
  <c r="E39" i="7"/>
  <c r="E38" i="7"/>
  <c r="E37" i="7"/>
  <c r="E36" i="7"/>
  <c r="E35" i="7"/>
  <c r="E34" i="7"/>
  <c r="E32" i="7"/>
  <c r="E31" i="7"/>
  <c r="E30" i="7"/>
  <c r="E29" i="7"/>
  <c r="H41" i="7"/>
  <c r="H42" i="7"/>
  <c r="G42" i="7" s="1"/>
  <c r="D42" i="7"/>
  <c r="E42" i="7" s="1"/>
  <c r="G146" i="6" l="1"/>
  <c r="G145" i="6" s="1"/>
  <c r="K145" i="6"/>
  <c r="K146" i="6"/>
  <c r="G34" i="7"/>
  <c r="H33" i="7"/>
  <c r="G33" i="7" s="1"/>
  <c r="H40" i="7"/>
  <c r="G40" i="7" s="1"/>
  <c r="H29" i="7"/>
  <c r="G29" i="7" s="1"/>
  <c r="H37" i="7"/>
  <c r="G37" i="7" s="1"/>
  <c r="H39" i="7"/>
  <c r="G39" i="7" s="1"/>
  <c r="H38" i="7"/>
  <c r="G38" i="7" s="1"/>
  <c r="H35" i="7"/>
  <c r="G35" i="7" s="1"/>
  <c r="G36" i="7"/>
  <c r="G41" i="7"/>
  <c r="D41" i="7"/>
  <c r="E41" i="7" s="1"/>
  <c r="J11" i="6" l="1"/>
  <c r="K9" i="6"/>
  <c r="K8" i="6"/>
  <c r="J9" i="6"/>
  <c r="K11" i="6"/>
  <c r="H31" i="7"/>
  <c r="G31" i="7" s="1"/>
  <c r="H30" i="7"/>
  <c r="G30" i="7" s="1"/>
  <c r="H32" i="7"/>
  <c r="G32" i="7" s="1"/>
  <c r="J26" i="7" l="1"/>
  <c r="G26" i="7"/>
  <c r="L10" i="7" s="1"/>
  <c r="J25" i="7"/>
  <c r="L15" i="7" l="1"/>
  <c r="G25" i="7"/>
  <c r="L12" i="7"/>
  <c r="K15" i="7"/>
  <c r="K12" i="7"/>
</calcChain>
</file>

<file path=xl/sharedStrings.xml><?xml version="1.0" encoding="utf-8"?>
<sst xmlns="http://schemas.openxmlformats.org/spreadsheetml/2006/main" count="610" uniqueCount="280">
  <si>
    <t>Scottish Funding Council</t>
  </si>
  <si>
    <t>Institution</t>
  </si>
  <si>
    <r>
      <t xml:space="preserve">College Staffing Aggregate Return for </t>
    </r>
    <r>
      <rPr>
        <b/>
        <u/>
        <sz val="16"/>
        <color theme="1"/>
        <rFont val="Calibri"/>
        <family val="2"/>
        <scheme val="minor"/>
      </rPr>
      <t>2021-22</t>
    </r>
  </si>
  <si>
    <t>Institution Code</t>
  </si>
  <si>
    <t>Note:</t>
  </si>
  <si>
    <t>Contact Name</t>
  </si>
  <si>
    <t>1.  Please complete all fields highlighted white.</t>
  </si>
  <si>
    <t>Telephone</t>
  </si>
  <si>
    <t>2. Staff working less than 10% FTE should be excluded</t>
  </si>
  <si>
    <t>Email</t>
  </si>
  <si>
    <r>
      <t xml:space="preserve">3.  The completed template should be returned, as an Excel attachment, to mmcneill@sfc.ac.uk, no later that </t>
    </r>
    <r>
      <rPr>
        <b/>
        <u/>
        <sz val="11"/>
        <color theme="1"/>
        <rFont val="Calibri"/>
        <family val="2"/>
        <scheme val="minor"/>
      </rPr>
      <t>Friday 07 October 2022.</t>
    </r>
  </si>
  <si>
    <t>Table 1:Type of Contract</t>
  </si>
  <si>
    <t>Staff Status</t>
  </si>
  <si>
    <t>Number of staff (FTE)</t>
  </si>
  <si>
    <t>Teaching</t>
  </si>
  <si>
    <t>Non-teaching (support)</t>
  </si>
  <si>
    <t>Total</t>
  </si>
  <si>
    <t>All Staff</t>
  </si>
  <si>
    <t>ERROR REPORT</t>
  </si>
  <si>
    <t>Table 2: Number of all Staff (FTE)</t>
  </si>
  <si>
    <t>Permanent</t>
  </si>
  <si>
    <t>Full-time</t>
  </si>
  <si>
    <t xml:space="preserve">Part-time </t>
  </si>
  <si>
    <t>Temporary</t>
  </si>
  <si>
    <t>Part-time</t>
  </si>
  <si>
    <t>Permanent and Temporary</t>
  </si>
  <si>
    <t>ERRORS</t>
  </si>
  <si>
    <t>FTE vs Headcount</t>
  </si>
  <si>
    <t>Teaching FTE vs Teaching Headcount</t>
  </si>
  <si>
    <t>Table 1 (FTE) and Table 1 (Headcount)</t>
  </si>
  <si>
    <t>Teaching FTE must not be greater than headcount in Headcount table 1.  Check F10 and Headcount D43 to E44</t>
  </si>
  <si>
    <t>Non-Teaching FTE vs Non-Teaching Headcount</t>
  </si>
  <si>
    <t>Non-teaching FTE must not be greater than headcount in Headcount table 1.  Check G10 and Headcount F43 to G44</t>
  </si>
  <si>
    <t>Teaching headcount in Headcount, D43 to E44 but no FTE in F10</t>
  </si>
  <si>
    <t>Non-teaching headcount in Headcount, F43 to G44 but no FTE in G10</t>
  </si>
  <si>
    <t>Full-time Permanent Teaching FTE vs Full-time Permanent Teaching Headcount</t>
  </si>
  <si>
    <t>Table 2 (FTE) and Table 2 (Headcount)</t>
  </si>
  <si>
    <t>Full-time permanent teaching FTE must not be greater than headcount in Headcount table 2.  Check F12 and Headcount S51 to Y52</t>
  </si>
  <si>
    <t>Part-time Permanent Teaching FTE vs Part-time Permanent Teaching Headcount</t>
  </si>
  <si>
    <t>Part-time permanent teaching FTE must not be greater than headcount in Headcount table 2.  Check F13 and Headcount S55 to Y56</t>
  </si>
  <si>
    <t>Full-time Temporary Teaching FTE vs Full-time Temporary Teaching Headcount</t>
  </si>
  <si>
    <t>Full-time temporary teaching FTE must not be greater than headcount in Headcount table 2.  Check F15 and Headcount S53 to Y54</t>
  </si>
  <si>
    <t>Part-time Temporary Teaching FTE vs Part-time Temporary Teaching Headcount</t>
  </si>
  <si>
    <t>Part-time temporary teaching FTE must not be greater than headcount in Headcount table 2.  Check F16 and Headcount S57 to Y58</t>
  </si>
  <si>
    <t>Full-time Permanent Non-Teaching FTE vs Full-time Permanent Non-Teaching Headcount</t>
  </si>
  <si>
    <t>Full-time permanent non-teaching FTE must not be greater than headcount in Headcount table 2.  Check G12 and Headcount S64 to Y65</t>
  </si>
  <si>
    <t>Part-time Permanent Non-Teaching FTE vs Part-time Permanent Non-Teaching Headcount</t>
  </si>
  <si>
    <t>Part-time permanent non-teaching FTE must not be greater than headcount in Headcount table 2.  Check G13 and Headcount S68 to Y69</t>
  </si>
  <si>
    <t>Full-time Temporary Non-Teaching FTE vs Full-time Temporary Non-Teaching Headcount</t>
  </si>
  <si>
    <t>Full-time temporary non-teaching FTE must not be greater than headcount in Headcount table 2.  Check G15 and Headcount S66 to Y67</t>
  </si>
  <si>
    <t>Part-time Temporary Non-Teaching FTE vs Part-time Temporary Non-Teaching Headcount</t>
  </si>
  <si>
    <t>Part-time temporary non-teaching FTE must not be greater than headcount in Headcount table 2.  Check G16 and Headcount S70 to Y71</t>
  </si>
  <si>
    <t>FTE</t>
  </si>
  <si>
    <t>Teaching FTE</t>
  </si>
  <si>
    <t>Table 1 and Table 2</t>
  </si>
  <si>
    <t>Teaching FTE total must be the same in table 1 and table 2(within + or - 0.2), see F20 and F10</t>
  </si>
  <si>
    <t>Non-Teaching FTE</t>
  </si>
  <si>
    <t>Non-teaching FTE total must be the same in table 1 and table 2(within + or - 0.2), see G20 and G10</t>
  </si>
  <si>
    <t>College Name</t>
  </si>
  <si>
    <t>Use the tables below to help identify inconsistencies in figures across tables to remove error messages.</t>
  </si>
  <si>
    <r>
      <t xml:space="preserve">College Staffing Aggreagrate Return for </t>
    </r>
    <r>
      <rPr>
        <b/>
        <u/>
        <sz val="16"/>
        <color theme="1"/>
        <rFont val="Calibri"/>
        <family val="2"/>
        <scheme val="minor"/>
      </rPr>
      <t>2021-22</t>
    </r>
  </si>
  <si>
    <t>College Number</t>
  </si>
  <si>
    <t>2. Staff working less than 10% FTE should be excluded.</t>
  </si>
  <si>
    <t>Please select college from drop-down list</t>
  </si>
  <si>
    <t>Aberdeen College</t>
  </si>
  <si>
    <t>Blue= Errors concerning FTEs only</t>
  </si>
  <si>
    <t>Adam Smith College</t>
  </si>
  <si>
    <t>Red=Errors concerning Headcount only</t>
  </si>
  <si>
    <t>Angus College</t>
  </si>
  <si>
    <t>Green= Errors concerning Headcount and FTEs</t>
  </si>
  <si>
    <t>Anniesland College</t>
  </si>
  <si>
    <t>Ayr College</t>
  </si>
  <si>
    <t>Banff &amp; Buchan College of Further Education</t>
  </si>
  <si>
    <t>Table 1: All staff (headcount) by age range, gender and employment category (teaching/senior management/other)</t>
  </si>
  <si>
    <t>Age range 
(years of age)</t>
  </si>
  <si>
    <t>Gender</t>
  </si>
  <si>
    <t>Employment category</t>
  </si>
  <si>
    <t>Table 1</t>
  </si>
  <si>
    <t>Barony College</t>
  </si>
  <si>
    <t>Borders College</t>
  </si>
  <si>
    <t>Permanent Teaching</t>
  </si>
  <si>
    <t>Cardonald College</t>
  </si>
  <si>
    <t>Senior management</t>
  </si>
  <si>
    <t>Other</t>
  </si>
  <si>
    <t>Temporary Teaching</t>
  </si>
  <si>
    <t>Carnegie College</t>
  </si>
  <si>
    <t>Male Teaching</t>
  </si>
  <si>
    <t>City of Glasgow College</t>
  </si>
  <si>
    <t>Female Teaching</t>
  </si>
  <si>
    <t>Clydebank College</t>
  </si>
  <si>
    <t>Non-Teaching</t>
  </si>
  <si>
    <t>Coatbridge College</t>
  </si>
  <si>
    <t>24 &amp; under</t>
  </si>
  <si>
    <t>Male</t>
  </si>
  <si>
    <t>Female</t>
  </si>
  <si>
    <t>25 - 30</t>
  </si>
  <si>
    <t>31 - 35</t>
  </si>
  <si>
    <t>36 - 40</t>
  </si>
  <si>
    <t>41 - 45</t>
  </si>
  <si>
    <t>46 - 50</t>
  </si>
  <si>
    <t>51 - 55</t>
  </si>
  <si>
    <t>Male Non-Teaching</t>
  </si>
  <si>
    <t>Cumbernauld College</t>
  </si>
  <si>
    <t>Female Non-Teaching</t>
  </si>
  <si>
    <t>Dumfries &amp; Galloway College</t>
  </si>
  <si>
    <t>56 - 60</t>
  </si>
  <si>
    <t>Dundee College</t>
  </si>
  <si>
    <t>Edinburgh's Telford College</t>
  </si>
  <si>
    <t>61 - 65</t>
  </si>
  <si>
    <t>Elmwood College</t>
  </si>
  <si>
    <t>Forth Valley College</t>
  </si>
  <si>
    <t>66 &amp; over</t>
  </si>
  <si>
    <t>Inverness College</t>
  </si>
  <si>
    <t>James Watt College of Further &amp; Higher Education</t>
  </si>
  <si>
    <t>Jewel and Esk College</t>
  </si>
  <si>
    <t>John Wheatley College</t>
  </si>
  <si>
    <t>Overall Totals</t>
  </si>
  <si>
    <t>Table 2:  Staff headcount by mode of employment (FT, PT), terms of employment (perm/temp), gender, ethnicity (BEM/Other) and salary range</t>
  </si>
  <si>
    <t>Mode of employment</t>
  </si>
  <si>
    <t>Terms of employment</t>
  </si>
  <si>
    <t>Ethnicity</t>
  </si>
  <si>
    <t>Table 2</t>
  </si>
  <si>
    <t>Lews Castle College</t>
  </si>
  <si>
    <t>Black and ethnic minority</t>
  </si>
  <si>
    <t>Other ethnicity</t>
  </si>
  <si>
    <t>Moray College</t>
  </si>
  <si>
    <t>Salary</t>
  </si>
  <si>
    <t>Permanent Non-Teaching</t>
  </si>
  <si>
    <t>Motherwell College</t>
  </si>
  <si>
    <t>£15,000 
or less</t>
  </si>
  <si>
    <t>£15,001 to £20,000</t>
  </si>
  <si>
    <t>£20,001 to £30,000</t>
  </si>
  <si>
    <t>£30,001 to £50,000</t>
  </si>
  <si>
    <t>£50,001 to £75,000</t>
  </si>
  <si>
    <t>£75,001 
to £100,000</t>
  </si>
  <si>
    <t>greater 
than £100,000</t>
  </si>
  <si>
    <t>£75,001 to £100,000</t>
  </si>
  <si>
    <t>greater than £100,000</t>
  </si>
  <si>
    <t>Full-Time Permanent Teaching</t>
  </si>
  <si>
    <t>Full-Time Permanent Non-Teaching</t>
  </si>
  <si>
    <t>North Glasgow College</t>
  </si>
  <si>
    <t>Part-Time Permanent Teaching</t>
  </si>
  <si>
    <t>Part-Time Permanent Non-Teaching</t>
  </si>
  <si>
    <t>Oatridge College</t>
  </si>
  <si>
    <t>Temporary Non-Teaching</t>
  </si>
  <si>
    <t>Perth College</t>
  </si>
  <si>
    <t>Full-Time Temporary Teaching</t>
  </si>
  <si>
    <t>Full-Time Temporary Non-Teaching</t>
  </si>
  <si>
    <t>Reid Kerr College</t>
  </si>
  <si>
    <t>Part-Time Temporary Teaching</t>
  </si>
  <si>
    <t>Part-Time Temporary Non-Teaching</t>
  </si>
  <si>
    <t>South Lanarkshire College</t>
  </si>
  <si>
    <t>Full-Time Teaching</t>
  </si>
  <si>
    <t>Full-Time Non-Teaching</t>
  </si>
  <si>
    <t>Stevenson College Edinburgh</t>
  </si>
  <si>
    <t>Part-Time Teaching</t>
  </si>
  <si>
    <t>Part-Time Non-Teaching</t>
  </si>
  <si>
    <t>Stow College</t>
  </si>
  <si>
    <t>North Highland College</t>
  </si>
  <si>
    <t>West Lothian College</t>
  </si>
  <si>
    <t>Less That £15,000 Teaching</t>
  </si>
  <si>
    <t>Less Than £15,000 Non-Teaching</t>
  </si>
  <si>
    <t>Orkney College</t>
  </si>
  <si>
    <t>£15,001 to £20,000 Teaching</t>
  </si>
  <si>
    <t>£15,001 to £20,000 Non-Teaching</t>
  </si>
  <si>
    <t>Shetland College of Further Education</t>
  </si>
  <si>
    <t>£20,001 to £30,000 Teaching</t>
  </si>
  <si>
    <t>£20,001 to £30,000 Non-Teaching</t>
  </si>
  <si>
    <t>Sabhal Mor Ostaig</t>
  </si>
  <si>
    <t>£30,001 to £50,000 Teaching</t>
  </si>
  <si>
    <t>£30,001 to £50,000 Non-Teaching</t>
  </si>
  <si>
    <t>Newbattle Abbey College</t>
  </si>
  <si>
    <t>£50,001 to £75,000 Teaching</t>
  </si>
  <si>
    <t>£50,001 to £75,000 Non-Teaching</t>
  </si>
  <si>
    <t>£75,001 to £100,000 Teaching</t>
  </si>
  <si>
    <t>£75,001 to £100,000 Non-Teaching</t>
  </si>
  <si>
    <t>Greater than £100,000 Teaching</t>
  </si>
  <si>
    <t>Greater than £100,000 Non-Teaching</t>
  </si>
  <si>
    <t>Table 3:  Staff headcount by mode of employment (FT, PT), terms of employment (perm/temp), gender, disability and salary range</t>
  </si>
  <si>
    <t>Staff with disability</t>
  </si>
  <si>
    <t>No disclosed disability</t>
  </si>
  <si>
    <t>Table 3</t>
  </si>
  <si>
    <t>£15,000 or less</t>
  </si>
  <si>
    <t>Less That £15,000 Non-Teaching</t>
  </si>
  <si>
    <t>Table 4:  Teaching staff (headcount) by grade ('lecturer and above' and 'instructor or equivalent'), terms of employment (perm/temp) and mode of employment (FT, PT).</t>
  </si>
  <si>
    <t>Teaching grade</t>
  </si>
  <si>
    <t>Teaching qualification</t>
  </si>
  <si>
    <t>Terms of Employment by Mode of Employment</t>
  </si>
  <si>
    <t>Table 4</t>
  </si>
  <si>
    <t>Full-Time</t>
  </si>
  <si>
    <t>Part-Time</t>
  </si>
  <si>
    <t>Lecturer 
and 
above</t>
  </si>
  <si>
    <t>TQFE, TQ Secondary, TQ Primary, PGDE (adult literacies) or equivalent</t>
  </si>
  <si>
    <t>Other TQ not equivalent to TQFE/Secondary/Primary/PGDE (adult literacies)</t>
  </si>
  <si>
    <t>Formal qualification but not teacher trained</t>
  </si>
  <si>
    <t>No formal qualification</t>
  </si>
  <si>
    <t>Instructor 
or 
equivalent</t>
  </si>
  <si>
    <t>PLEASE REFER TO GUIDANCE NOTES FOR DETAILS OF THESE QUALIFICATIONS</t>
  </si>
  <si>
    <t>Table 5: All staff (headcount) by country of nationality and employment cateorgy (teaching/senior management/other)</t>
  </si>
  <si>
    <t xml:space="preserve">Country of Nationality </t>
  </si>
  <si>
    <t>Table 5</t>
  </si>
  <si>
    <t>British</t>
  </si>
  <si>
    <t>Senior Management</t>
  </si>
  <si>
    <t>England</t>
  </si>
  <si>
    <t>Northern Ireland</t>
  </si>
  <si>
    <t>Other EU country nationals</t>
  </si>
  <si>
    <t>Other Non-EU world country nationals</t>
  </si>
  <si>
    <t>Scotland</t>
  </si>
  <si>
    <t>Wales/Cymru</t>
  </si>
  <si>
    <t>Prefer not to say</t>
  </si>
  <si>
    <t>Unknown</t>
  </si>
  <si>
    <t>Teaching Staff</t>
  </si>
  <si>
    <t>Permanent teaching staff headcount in table 1 and table 2 do not match.  Check D43 to D44 and S59 to Y60</t>
  </si>
  <si>
    <t>Table 2 and Table 3</t>
  </si>
  <si>
    <t>Permanent teaching staff headcount in table 2 and table 3 do not match.  Check S59 to Y60 and S90 to Y91</t>
  </si>
  <si>
    <t>Table 3 and Table 4</t>
  </si>
  <si>
    <t>Permanent teaching staff headcount in table 3 and table 4 do not match.  Check S90 to Y91 and F109 to F112</t>
  </si>
  <si>
    <t>Temporary teaching staff headcount in table 1 and table 2 do not match.  Check E43 to E44 and S53 to Y54</t>
  </si>
  <si>
    <t>Temporary teaching staff headcount in table 2 and table 3 do not match.  Check S53 to Y54 and S84 to Y85</t>
  </si>
  <si>
    <t>Temporary teaching staff headcount in table 3 and table 4 do not match.  Check S84 to Y85 and I109 to I112</t>
  </si>
  <si>
    <t>Male teaching staff headcount in table 1 and table 2 do not match.  Check D43 to E43 as well as S59 to Y59 and S61 to Y61</t>
  </si>
  <si>
    <t>Male teaching staff headcount in table 2 and table 3 do not match.  Check S59 to Y59 and S61 to Y61 as well as S90 to Y90 and S92 to Y92</t>
  </si>
  <si>
    <t>Female teaching staff headcount in table 1 and table 2 do not match.  Check D44 to E44 as well as S60 to Y60 and S62 to Y62</t>
  </si>
  <si>
    <t>Female teaching staff headcount in table 2 and table 3 do not match.  Check S60 to Y60 and S62 to Y62 as well as S92 to Y92 and S93 to Y93</t>
  </si>
  <si>
    <t>Full-time teaching staff headcount in table 2 and table 3 do not match.  Check S51 to Y54 and S82 to Y85</t>
  </si>
  <si>
    <t>Full-time teaching staff headcount in table 3 and table 4 do not match.  Check S82 to Y85 and J109 to J112</t>
  </si>
  <si>
    <t>Part-time teaching staff headcount in table 2 and table 3 do not match.  Check S55 to Y58 and S86 to Y89</t>
  </si>
  <si>
    <t>Part-time teaching staff headcount in table 3 and table 4 do not match.  Check S86 to Y89 and K109 to K112</t>
  </si>
  <si>
    <t>£15,000 or Less</t>
  </si>
  <si>
    <t>Teaching staff paid £15,000 or less headcount in table 2 and table 3 do not match.  Check S59 to S62 and S90 to S93</t>
  </si>
  <si>
    <t>Teaching staff paid £15,001 to £20,000 headcount in table 2 and table 3 do not match.  Check T59 to T62 and T90 to T93</t>
  </si>
  <si>
    <t>Teaching staff paid £20,001 to £30,000 headcount in table 2 and table 3 do not match.  Check U59 to U62 and U90 to U93</t>
  </si>
  <si>
    <t>Teaching staff paid £30,001 to £50,000 headcount in table 2 and table 3 do not match.  Check V59 to V62 and V90 to V93</t>
  </si>
  <si>
    <t>Teaching staff paid £50,001 to £75,000 headcount in table 2 and table 3 do not match.  Check W59 to W62 and W90 to W93</t>
  </si>
  <si>
    <t>Teaching staff paid £75,001 to £100,000 headcount in table 2 and table 3 do not match.  Check X59 to X62 and X90 to X93</t>
  </si>
  <si>
    <t>Greater than £100,000</t>
  </si>
  <si>
    <t>Teaching staff paid greater than £100,000 headcount in table 2 and table 3 do not match.  Check Y59 to Y62 and Y90 to Y93</t>
  </si>
  <si>
    <t>Non-Teaching Staff</t>
  </si>
  <si>
    <t>Permanent non-teaching staff headcount in table 2 and table 3 do not match.  Check S64 to Y65 and S68 to Y69</t>
  </si>
  <si>
    <t>Temporary non-teaching staff headcount in table 2 and table 3 do not match.  Check S66 to Y67 and S97 to Y98</t>
  </si>
  <si>
    <t>Male non-teaching staff headcount in table 1 and table 2 do not match.  Check F43 to G43 as well as S72 to Y72 and S74 to Y74</t>
  </si>
  <si>
    <t>Male non-teaching staff headcount in table 2 and table 3 do not match.  Check S72 to Y72 and S74 to Y74 as well as S103 to Y103 and S105 to Y105</t>
  </si>
  <si>
    <t>Female non-teaching staff headcount in table 1 and table 2 do not match.  Check F44 to G44 as well as S73 to Y73 and S75 to Y75</t>
  </si>
  <si>
    <t>Female non-teaching staff headcount in table 2 and table 3 do not match.  Check S73 to Y73 and S75 to Y75 as well as S104 to Y104 and S106 to Y106</t>
  </si>
  <si>
    <t>Full-time non-teaching staff headcount in table 2 and table 3 do not match.  Check S64 to Y67 and S95 to Y98</t>
  </si>
  <si>
    <t>Part-time non-teaching staff headcount in table 2 and table 3 do not match.  Check S68 to Y71 and S99 to Y102</t>
  </si>
  <si>
    <t>Non-teaching staff paid £15,000 or less headcount in table 2 and table 3 do not match.  Check S72 to S75 and S103 to S106</t>
  </si>
  <si>
    <t>Non-teaching staff paid £15,001 to £20,000 headcount in table 2 and table 3 do not match.  Check T72 to T75 and T103 to T106</t>
  </si>
  <si>
    <t>Non-teaching staff paid £20,001 to £30,000 headcount in table 2 and table 3 do not match.  Check U72 to U75 and U103 to U106</t>
  </si>
  <si>
    <t>Non-teaching staff paid £30,001 to £50,000 headcount in table 2 and table 3 do not match.  Check V72 to V75 and V103 to V106</t>
  </si>
  <si>
    <t>Non-teaching staff paid £50,001 to £75,000 headcount in table 2 and table 3 do not match.  Check W72 to W75 and W103 to W106</t>
  </si>
  <si>
    <t>Non-teaching staff paid £75,001 to £100,000 headcount in table 2 and table 3 do not match.  Check X72 to X75 and X103 to X106</t>
  </si>
  <si>
    <t>Non-teaching staff paid greater than £100,000 headcount in table 2 and table 3 do not match.  Check Y72 to Y75 and Y103 to Y106</t>
  </si>
  <si>
    <t>Teaching Staff vs Non-Teaching Staff</t>
  </si>
  <si>
    <t>All Teaching Staff</t>
  </si>
  <si>
    <t>Total teaching staff headcount in table 1 and table 2 do not match.  Check D43 to E44 and S59 to Y62</t>
  </si>
  <si>
    <t>Total teaching staff headcount in table 2 and table 3 do not match.  Check S59 to Y62 and S90 to Y93</t>
  </si>
  <si>
    <t>Total teaching staff headcount in table 3 and table 4 do not match.  Check S90 to Y93 and L109 to L112</t>
  </si>
  <si>
    <t>All Non-Teaching Staff</t>
  </si>
  <si>
    <t>Total non-teaching staff headcount in table 1 and table 2 do not match.  Check F43 to G44 and S72 to Y75</t>
  </si>
  <si>
    <t>Total non-teaching staff headcount in table 2 and table 3 do not match.  Check S72 to Y75 and S103 to Y106</t>
  </si>
  <si>
    <t>Please select College</t>
  </si>
  <si>
    <t>Argyll College UHI</t>
  </si>
  <si>
    <t>Ayrshire College</t>
  </si>
  <si>
    <t>Dundee &amp; Angus College</t>
  </si>
  <si>
    <t>Edinburgh College</t>
  </si>
  <si>
    <t>Fife College</t>
  </si>
  <si>
    <t>Glasgow Clyde College</t>
  </si>
  <si>
    <t>Glasgow Kelvin College</t>
  </si>
  <si>
    <t>Inverness College UHI</t>
  </si>
  <si>
    <t xml:space="preserve">New College Lanarkshire </t>
  </si>
  <si>
    <t>North East Scotland College</t>
  </si>
  <si>
    <t>North Highland College UHI</t>
  </si>
  <si>
    <t>Orkney College UHI</t>
  </si>
  <si>
    <t>Perth College UHI</t>
  </si>
  <si>
    <t>Sabhal Mor Ostaig UHI</t>
  </si>
  <si>
    <t>Shetland College UHI</t>
  </si>
  <si>
    <t>SRUC</t>
  </si>
  <si>
    <t>West College Scotland</t>
  </si>
  <si>
    <t>West Highland College UHI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</si>
</sst>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12"/>
      <name val="Garamond"/>
      <family val="1"/>
    </font>
    <font>
      <u/>
      <sz val="10"/>
      <color indexed="30"/>
      <name val="Arial"/>
      <family val="2"/>
    </font>
    <font>
      <b/>
      <sz val="12"/>
      <name val="Garamond"/>
      <family val="1"/>
    </font>
    <font>
      <b/>
      <sz val="12"/>
      <color indexed="10"/>
      <name val="Garamond"/>
      <family val="1"/>
    </font>
    <font>
      <sz val="12"/>
      <color indexed="40"/>
      <name val="Garamond"/>
      <family val="1"/>
    </font>
    <font>
      <sz val="12"/>
      <color indexed="10"/>
      <name val="Garamond"/>
      <family val="1"/>
    </font>
    <font>
      <b/>
      <sz val="10"/>
      <name val="Arial"/>
      <family val="2"/>
    </font>
    <font>
      <sz val="10"/>
      <name val="Arial"/>
      <family val="2"/>
    </font>
    <font>
      <sz val="12"/>
      <color rgb="FF00B0F0"/>
      <name val="Garamond"/>
      <family val="1"/>
    </font>
    <font>
      <sz val="12"/>
      <color rgb="FFFF0000"/>
      <name val="Garamond"/>
      <family val="1"/>
    </font>
    <font>
      <sz val="12"/>
      <color rgb="FF00B050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8"/>
      <color rgb="FFFF0000"/>
      <name val="Garamond"/>
      <family val="1"/>
    </font>
    <font>
      <b/>
      <sz val="14"/>
      <color rgb="FFFF0000"/>
      <name val="Garamond"/>
      <family val="1"/>
    </font>
    <font>
      <sz val="12"/>
      <color theme="0"/>
      <name val="Garamond"/>
      <family val="1"/>
    </font>
    <font>
      <sz val="12"/>
      <color theme="3" tint="0.79998168889431442"/>
      <name val="Garamond"/>
      <family val="1"/>
    </font>
    <font>
      <sz val="12"/>
      <color theme="1"/>
      <name val="Calibri"/>
      <family val="2"/>
      <scheme val="minor"/>
    </font>
    <font>
      <b/>
      <sz val="12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7" fillId="0" borderId="0" applyNumberFormat="0" applyFill="0" applyBorder="0" applyAlignment="0" applyProtection="0"/>
    <xf numFmtId="0" fontId="12" fillId="0" borderId="0"/>
  </cellStyleXfs>
  <cellXfs count="535">
    <xf numFmtId="0" fontId="0" fillId="0" borderId="0" xfId="0"/>
    <xf numFmtId="0" fontId="38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22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20" fillId="0" borderId="39" xfId="0" applyFont="1" applyFill="1" applyBorder="1" applyAlignment="1" applyProtection="1">
      <alignment vertical="center" wrapText="1"/>
      <protection hidden="1"/>
    </xf>
    <xf numFmtId="0" fontId="1" fillId="0" borderId="4" xfId="0" applyFont="1" applyFill="1" applyBorder="1" applyAlignment="1" applyProtection="1">
      <alignment vertical="center"/>
      <protection hidden="1"/>
    </xf>
    <xf numFmtId="0" fontId="1" fillId="0" borderId="59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20" fillId="0" borderId="30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vertical="center"/>
      <protection hidden="1"/>
    </xf>
    <xf numFmtId="0" fontId="26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20" fillId="0" borderId="34" xfId="0" applyFont="1" applyFill="1" applyBorder="1" applyAlignment="1" applyProtection="1">
      <alignment vertical="center"/>
      <protection hidden="1"/>
    </xf>
    <xf numFmtId="0" fontId="26" fillId="0" borderId="0" xfId="2" applyFont="1" applyFill="1" applyAlignment="1" applyProtection="1">
      <alignment vertical="center"/>
      <protection hidden="1"/>
    </xf>
    <xf numFmtId="0" fontId="1" fillId="0" borderId="0" xfId="2" applyFill="1" applyAlignment="1" applyProtection="1">
      <alignment vertical="center"/>
      <protection hidden="1"/>
    </xf>
    <xf numFmtId="0" fontId="21" fillId="0" borderId="50" xfId="0" applyFont="1" applyFill="1" applyBorder="1" applyAlignment="1" applyProtection="1">
      <alignment horizontal="center" vertical="center" wrapText="1"/>
      <protection hidden="1"/>
    </xf>
    <xf numFmtId="0" fontId="1" fillId="0" borderId="0" xfId="2" applyFill="1" applyAlignment="1" applyProtection="1">
      <alignment horizontal="left" vertical="center" wrapText="1"/>
      <protection hidden="1"/>
    </xf>
    <xf numFmtId="0" fontId="1" fillId="0" borderId="0" xfId="2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10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1" fillId="0" borderId="10" xfId="0" applyFont="1" applyFill="1" applyBorder="1" applyAlignment="1" applyProtection="1">
      <alignment vertical="center"/>
      <protection hidden="1"/>
    </xf>
    <xf numFmtId="0" fontId="11" fillId="0" borderId="25" xfId="0" applyFont="1" applyFill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10" fillId="0" borderId="17" xfId="0" applyFont="1" applyFill="1" applyBorder="1" applyAlignment="1" applyProtection="1">
      <alignment vertical="center"/>
      <protection hidden="1"/>
    </xf>
    <xf numFmtId="0" fontId="11" fillId="0" borderId="14" xfId="0" applyFont="1" applyFill="1" applyBorder="1" applyAlignment="1" applyProtection="1">
      <alignment vertical="center"/>
      <protection hidden="1"/>
    </xf>
    <xf numFmtId="0" fontId="11" fillId="0" borderId="17" xfId="0" applyFont="1" applyFill="1" applyBorder="1" applyAlignment="1" applyProtection="1">
      <alignment vertical="center"/>
      <protection hidden="1"/>
    </xf>
    <xf numFmtId="0" fontId="26" fillId="0" borderId="3" xfId="0" applyFont="1" applyFill="1" applyBorder="1" applyAlignment="1" applyProtection="1">
      <alignment horizontal="left" vertical="center" wrapText="1" indent="2"/>
      <protection hidden="1"/>
    </xf>
    <xf numFmtId="0" fontId="26" fillId="0" borderId="39" xfId="0" applyFont="1" applyFill="1" applyBorder="1" applyAlignment="1" applyProtection="1">
      <alignment horizontal="center" vertical="center" wrapText="1"/>
      <protection locked="0" hidden="1"/>
    </xf>
    <xf numFmtId="0" fontId="26" fillId="0" borderId="3" xfId="0" applyFont="1" applyFill="1" applyBorder="1" applyAlignment="1" applyProtection="1">
      <alignment horizontal="center" vertical="center" wrapText="1"/>
      <protection locked="0" hidden="1"/>
    </xf>
    <xf numFmtId="0" fontId="26" fillId="0" borderId="3" xfId="0" applyFont="1" applyFill="1" applyBorder="1" applyAlignment="1" applyProtection="1">
      <alignment horizontal="center" vertical="center"/>
      <protection hidden="1"/>
    </xf>
    <xf numFmtId="0" fontId="26" fillId="0" borderId="7" xfId="0" applyFont="1" applyFill="1" applyBorder="1" applyAlignment="1" applyProtection="1">
      <alignment horizontal="left" vertical="center" wrapText="1" indent="2"/>
      <protection hidden="1"/>
    </xf>
    <xf numFmtId="0" fontId="26" fillId="0" borderId="35" xfId="0" applyFont="1" applyFill="1" applyBorder="1" applyAlignment="1" applyProtection="1">
      <alignment horizontal="center" vertical="center" wrapText="1"/>
      <protection locked="0" hidden="1"/>
    </xf>
    <xf numFmtId="0" fontId="26" fillId="0" borderId="9" xfId="0" applyFont="1" applyFill="1" applyBorder="1" applyAlignment="1" applyProtection="1">
      <alignment horizontal="left" vertical="center" wrapText="1" indent="2"/>
      <protection hidden="1"/>
    </xf>
    <xf numFmtId="0" fontId="26" fillId="0" borderId="9" xfId="0" applyFont="1" applyFill="1" applyBorder="1" applyAlignment="1" applyProtection="1">
      <alignment horizontal="center" wrapText="1"/>
      <protection hidden="1"/>
    </xf>
    <xf numFmtId="0" fontId="6" fillId="0" borderId="5" xfId="0" applyFont="1" applyFill="1" applyBorder="1" applyAlignment="1" applyProtection="1">
      <alignment vertical="center"/>
      <protection hidden="1"/>
    </xf>
    <xf numFmtId="0" fontId="10" fillId="0" borderId="6" xfId="0" applyFont="1" applyFill="1" applyBorder="1" applyAlignment="1" applyProtection="1">
      <alignment vertical="center"/>
      <protection hidden="1"/>
    </xf>
    <xf numFmtId="0" fontId="26" fillId="0" borderId="3" xfId="0" applyFont="1" applyFill="1" applyBorder="1" applyAlignment="1" applyProtection="1">
      <alignment horizontal="center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6" fillId="0" borderId="3" xfId="0" applyFont="1" applyFill="1" applyBorder="1" applyAlignment="1" applyProtection="1">
      <alignment horizontal="center"/>
      <protection hidden="1"/>
    </xf>
    <xf numFmtId="0" fontId="26" fillId="0" borderId="5" xfId="0" applyFont="1" applyFill="1" applyBorder="1" applyAlignment="1" applyProtection="1">
      <alignment horizontal="center" vertical="center"/>
      <protection hidden="1"/>
    </xf>
    <xf numFmtId="0" fontId="26" fillId="0" borderId="7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vertical="top" wrapText="1"/>
      <protection hidden="1"/>
    </xf>
    <xf numFmtId="0" fontId="1" fillId="0" borderId="0" xfId="0" applyFont="1" applyFill="1" applyAlignment="1" applyProtection="1">
      <alignment vertical="top" wrapText="1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1" fillId="0" borderId="0" xfId="2" applyFill="1" applyAlignment="1" applyProtection="1">
      <alignment horizontal="left" vertical="top" wrapText="1"/>
      <protection hidden="1"/>
    </xf>
    <xf numFmtId="0" fontId="1" fillId="0" borderId="0" xfId="2" applyFill="1" applyAlignment="1" applyProtection="1">
      <alignment horizontal="center" vertical="top" wrapText="1"/>
      <protection hidden="1"/>
    </xf>
    <xf numFmtId="0" fontId="7" fillId="0" borderId="0" xfId="0" applyFont="1" applyFill="1" applyAlignment="1" applyProtection="1">
      <alignment vertical="center" wrapText="1"/>
      <protection hidden="1"/>
    </xf>
    <xf numFmtId="0" fontId="10" fillId="0" borderId="1" xfId="0" applyFont="1" applyFill="1" applyBorder="1" applyAlignment="1" applyProtection="1">
      <alignment vertical="center"/>
      <protection hidden="1"/>
    </xf>
    <xf numFmtId="0" fontId="10" fillId="0" borderId="2" xfId="0" applyFont="1" applyFill="1" applyBorder="1" applyAlignment="1" applyProtection="1">
      <alignment vertical="center"/>
      <protection hidden="1"/>
    </xf>
    <xf numFmtId="0" fontId="6" fillId="0" borderId="17" xfId="0" applyFont="1" applyFill="1" applyBorder="1" applyAlignment="1" applyProtection="1">
      <alignment vertical="center"/>
      <protection hidden="1"/>
    </xf>
    <xf numFmtId="0" fontId="10" fillId="0" borderId="14" xfId="0" applyFont="1" applyFill="1" applyBorder="1" applyAlignment="1" applyProtection="1">
      <alignment vertical="center"/>
      <protection hidden="1"/>
    </xf>
    <xf numFmtId="0" fontId="26" fillId="0" borderId="52" xfId="2" applyFont="1" applyFill="1" applyBorder="1" applyAlignment="1" applyProtection="1">
      <alignment horizontal="center" vertical="center" wrapText="1"/>
      <protection hidden="1"/>
    </xf>
    <xf numFmtId="0" fontId="26" fillId="0" borderId="53" xfId="2" applyFont="1" applyFill="1" applyBorder="1" applyAlignment="1" applyProtection="1">
      <alignment horizontal="center" vertical="center" wrapText="1"/>
      <protection hidden="1"/>
    </xf>
    <xf numFmtId="0" fontId="26" fillId="0" borderId="38" xfId="2" applyFont="1" applyFill="1" applyBorder="1" applyAlignment="1" applyProtection="1">
      <alignment horizontal="center" vertical="center" wrapText="1"/>
      <protection hidden="1"/>
    </xf>
    <xf numFmtId="0" fontId="26" fillId="0" borderId="53" xfId="0" applyFont="1" applyFill="1" applyBorder="1" applyAlignment="1" applyProtection="1">
      <alignment horizontal="center" vertical="center" wrapText="1"/>
      <protection hidden="1"/>
    </xf>
    <xf numFmtId="0" fontId="26" fillId="0" borderId="38" xfId="0" applyFont="1" applyFill="1" applyBorder="1" applyAlignment="1" applyProtection="1">
      <alignment horizontal="center" vertical="center" wrapText="1"/>
      <protection hidden="1"/>
    </xf>
    <xf numFmtId="0" fontId="26" fillId="0" borderId="54" xfId="2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vertical="center"/>
      <protection hidden="1"/>
    </xf>
    <xf numFmtId="0" fontId="9" fillId="0" borderId="17" xfId="0" applyFont="1" applyFill="1" applyBorder="1" applyAlignment="1" applyProtection="1">
      <alignment vertical="center"/>
      <protection hidden="1"/>
    </xf>
    <xf numFmtId="0" fontId="26" fillId="0" borderId="4" xfId="2" applyFont="1" applyFill="1" applyBorder="1" applyAlignment="1" applyProtection="1">
      <alignment horizontal="left" indent="2"/>
      <protection hidden="1"/>
    </xf>
    <xf numFmtId="0" fontId="26" fillId="0" borderId="1" xfId="2" applyFont="1" applyFill="1" applyBorder="1" applyAlignment="1" applyProtection="1">
      <alignment horizontal="center"/>
      <protection locked="0" hidden="1"/>
    </xf>
    <xf numFmtId="0" fontId="26" fillId="0" borderId="3" xfId="2" applyFont="1" applyFill="1" applyBorder="1" applyAlignment="1" applyProtection="1">
      <alignment horizontal="center"/>
      <protection locked="0" hidden="1"/>
    </xf>
    <xf numFmtId="0" fontId="21" fillId="0" borderId="1" xfId="2" applyFont="1" applyFill="1" applyBorder="1" applyAlignment="1" applyProtection="1">
      <alignment horizontal="center"/>
      <protection hidden="1"/>
    </xf>
    <xf numFmtId="0" fontId="21" fillId="0" borderId="12" xfId="2" applyFont="1" applyFill="1" applyBorder="1" applyAlignment="1" applyProtection="1">
      <alignment horizontal="center"/>
      <protection hidden="1"/>
    </xf>
    <xf numFmtId="0" fontId="21" fillId="0" borderId="2" xfId="2" applyFont="1" applyFill="1" applyBorder="1" applyAlignment="1" applyProtection="1">
      <alignment horizontal="center"/>
      <protection hidden="1"/>
    </xf>
    <xf numFmtId="0" fontId="26" fillId="0" borderId="11" xfId="2" applyFont="1" applyFill="1" applyBorder="1" applyAlignment="1" applyProtection="1">
      <alignment horizontal="left" indent="2"/>
      <protection hidden="1"/>
    </xf>
    <xf numFmtId="0" fontId="26" fillId="0" borderId="14" xfId="2" applyFont="1" applyFill="1" applyBorder="1" applyAlignment="1" applyProtection="1">
      <alignment horizontal="center"/>
      <protection locked="0" hidden="1"/>
    </xf>
    <xf numFmtId="0" fontId="26" fillId="0" borderId="29" xfId="2" applyFont="1" applyFill="1" applyBorder="1" applyAlignment="1" applyProtection="1">
      <alignment horizontal="center"/>
      <protection locked="0" hidden="1"/>
    </xf>
    <xf numFmtId="0" fontId="21" fillId="0" borderId="14" xfId="2" applyFont="1" applyFill="1" applyBorder="1" applyAlignment="1" applyProtection="1">
      <alignment horizontal="center"/>
      <protection hidden="1"/>
    </xf>
    <xf numFmtId="0" fontId="21" fillId="0" borderId="15" xfId="2" applyFont="1" applyFill="1" applyBorder="1" applyAlignment="1" applyProtection="1">
      <alignment horizontal="center"/>
      <protection hidden="1"/>
    </xf>
    <xf numFmtId="0" fontId="21" fillId="0" borderId="17" xfId="2" applyFont="1" applyFill="1" applyBorder="1" applyAlignment="1" applyProtection="1">
      <alignment horizontal="center"/>
      <protection hidden="1"/>
    </xf>
    <xf numFmtId="0" fontId="26" fillId="0" borderId="31" xfId="2" applyFont="1" applyFill="1" applyBorder="1" applyAlignment="1" applyProtection="1">
      <alignment horizontal="left" indent="2"/>
      <protection hidden="1"/>
    </xf>
    <xf numFmtId="0" fontId="26" fillId="0" borderId="55" xfId="2" applyFont="1" applyFill="1" applyBorder="1" applyAlignment="1" applyProtection="1">
      <alignment horizontal="left" indent="2"/>
      <protection hidden="1"/>
    </xf>
    <xf numFmtId="0" fontId="26" fillId="0" borderId="10" xfId="2" applyFont="1" applyFill="1" applyBorder="1" applyAlignment="1" applyProtection="1">
      <alignment horizontal="center"/>
      <protection locked="0" hidden="1"/>
    </xf>
    <xf numFmtId="0" fontId="21" fillId="0" borderId="20" xfId="2" applyFont="1" applyFill="1" applyBorder="1" applyAlignment="1" applyProtection="1">
      <alignment horizontal="center"/>
      <protection hidden="1"/>
    </xf>
    <xf numFmtId="0" fontId="21" fillId="0" borderId="21" xfId="2" applyFont="1" applyFill="1" applyBorder="1" applyAlignment="1" applyProtection="1">
      <alignment horizontal="center"/>
      <protection hidden="1"/>
    </xf>
    <xf numFmtId="0" fontId="21" fillId="0" borderId="22" xfId="2" applyFont="1" applyFill="1" applyBorder="1" applyAlignment="1" applyProtection="1">
      <alignment horizontal="center"/>
      <protection hidden="1"/>
    </xf>
    <xf numFmtId="0" fontId="26" fillId="0" borderId="43" xfId="2" applyFont="1" applyFill="1" applyBorder="1" applyAlignment="1" applyProtection="1">
      <alignment horizontal="left" indent="2"/>
      <protection hidden="1"/>
    </xf>
    <xf numFmtId="0" fontId="21" fillId="0" borderId="13" xfId="2" applyFont="1" applyFill="1" applyBorder="1" applyAlignment="1" applyProtection="1">
      <alignment horizontal="center"/>
      <protection hidden="1"/>
    </xf>
    <xf numFmtId="0" fontId="21" fillId="0" borderId="16" xfId="2" applyFont="1" applyFill="1" applyBorder="1" applyAlignment="1" applyProtection="1">
      <alignment horizontal="center"/>
      <protection hidden="1"/>
    </xf>
    <xf numFmtId="0" fontId="21" fillId="0" borderId="5" xfId="2" applyFont="1" applyFill="1" applyBorder="1" applyAlignment="1" applyProtection="1">
      <alignment horizontal="center"/>
      <protection hidden="1"/>
    </xf>
    <xf numFmtId="0" fontId="21" fillId="0" borderId="18" xfId="2" applyFont="1" applyFill="1" applyBorder="1" applyAlignment="1" applyProtection="1">
      <alignment horizontal="center"/>
      <protection hidden="1"/>
    </xf>
    <xf numFmtId="0" fontId="21" fillId="0" borderId="19" xfId="2" applyFont="1" applyFill="1" applyBorder="1" applyAlignment="1" applyProtection="1">
      <alignment horizontal="center"/>
      <protection hidden="1"/>
    </xf>
    <xf numFmtId="0" fontId="21" fillId="0" borderId="6" xfId="2" applyFont="1" applyFill="1" applyBorder="1" applyAlignment="1" applyProtection="1">
      <alignment horizontal="center"/>
      <protection hidden="1"/>
    </xf>
    <xf numFmtId="0" fontId="25" fillId="0" borderId="30" xfId="0" applyFont="1" applyFill="1" applyBorder="1" applyAlignment="1" applyProtection="1">
      <alignment horizontal="center" vertical="center" wrapText="1"/>
      <protection hidden="1"/>
    </xf>
    <xf numFmtId="0" fontId="12" fillId="0" borderId="30" xfId="0" applyFont="1" applyFill="1" applyBorder="1" applyAlignment="1" applyProtection="1">
      <alignment horizontal="left" vertical="center" wrapText="1"/>
      <protection hidden="1"/>
    </xf>
    <xf numFmtId="0" fontId="12" fillId="0" borderId="30" xfId="0" applyFont="1" applyFill="1" applyBorder="1" applyAlignment="1" applyProtection="1">
      <alignment vertical="center" wrapText="1"/>
      <protection hidden="1"/>
    </xf>
    <xf numFmtId="0" fontId="26" fillId="0" borderId="43" xfId="2" applyFont="1" applyFill="1" applyBorder="1" applyAlignment="1" applyProtection="1">
      <alignment vertical="center" wrapText="1"/>
      <protection hidden="1"/>
    </xf>
    <xf numFmtId="0" fontId="21" fillId="0" borderId="67" xfId="2" applyFont="1" applyFill="1" applyBorder="1" applyAlignment="1" applyProtection="1">
      <alignment horizontal="center"/>
      <protection hidden="1"/>
    </xf>
    <xf numFmtId="0" fontId="21" fillId="0" borderId="80" xfId="2" applyFont="1" applyFill="1" applyBorder="1" applyAlignment="1" applyProtection="1">
      <alignment horizontal="center"/>
      <protection hidden="1"/>
    </xf>
    <xf numFmtId="0" fontId="21" fillId="0" borderId="68" xfId="2" applyFont="1" applyFill="1" applyBorder="1" applyAlignment="1" applyProtection="1">
      <alignment horizontal="center"/>
      <protection hidden="1"/>
    </xf>
    <xf numFmtId="0" fontId="26" fillId="0" borderId="4" xfId="2" applyFont="1" applyFill="1" applyBorder="1" applyAlignment="1" applyProtection="1">
      <alignment horizontal="left" vertical="center" indent="2"/>
      <protection hidden="1"/>
    </xf>
    <xf numFmtId="0" fontId="26" fillId="0" borderId="11" xfId="2" applyFont="1" applyFill="1" applyBorder="1" applyAlignment="1" applyProtection="1">
      <alignment horizontal="left" vertical="center" wrapText="1" indent="2"/>
      <protection hidden="1"/>
    </xf>
    <xf numFmtId="0" fontId="26" fillId="0" borderId="31" xfId="2" applyFont="1" applyFill="1" applyBorder="1" applyAlignment="1" applyProtection="1">
      <alignment horizontal="left" vertical="center" wrapText="1" indent="2"/>
      <protection hidden="1"/>
    </xf>
    <xf numFmtId="0" fontId="6" fillId="0" borderId="6" xfId="0" applyFont="1" applyFill="1" applyBorder="1" applyAlignment="1" applyProtection="1">
      <alignment vertical="center"/>
      <protection hidden="1"/>
    </xf>
    <xf numFmtId="0" fontId="26" fillId="0" borderId="55" xfId="2" applyFont="1" applyFill="1" applyBorder="1" applyAlignment="1" applyProtection="1">
      <alignment horizontal="left" vertical="center" wrapText="1" indent="2"/>
      <protection hidden="1"/>
    </xf>
    <xf numFmtId="0" fontId="26" fillId="0" borderId="4" xfId="2" applyFont="1" applyFill="1" applyBorder="1" applyAlignment="1" applyProtection="1">
      <alignment horizontal="left" vertical="center" wrapText="1" indent="2"/>
      <protection hidden="1"/>
    </xf>
    <xf numFmtId="0" fontId="26" fillId="0" borderId="43" xfId="2" applyFont="1" applyFill="1" applyBorder="1" applyAlignment="1" applyProtection="1">
      <alignment horizontal="left" vertical="center" wrapText="1" indent="2"/>
      <protection hidden="1"/>
    </xf>
    <xf numFmtId="0" fontId="10" fillId="0" borderId="13" xfId="0" applyFont="1" applyFill="1" applyBorder="1" applyAlignment="1" applyProtection="1">
      <alignment vertical="center"/>
      <protection hidden="1"/>
    </xf>
    <xf numFmtId="0" fontId="26" fillId="0" borderId="40" xfId="2" applyFont="1" applyFill="1" applyBorder="1" applyAlignment="1" applyProtection="1">
      <alignment horizontal="center" vertical="center" wrapText="1"/>
      <protection hidden="1"/>
    </xf>
    <xf numFmtId="0" fontId="26" fillId="0" borderId="56" xfId="2" applyFont="1" applyFill="1" applyBorder="1" applyAlignment="1" applyProtection="1">
      <alignment horizontal="center" vertical="center" wrapText="1"/>
      <protection hidden="1"/>
    </xf>
    <xf numFmtId="0" fontId="26" fillId="0" borderId="37" xfId="2" applyFont="1" applyFill="1" applyBorder="1" applyAlignment="1" applyProtection="1">
      <alignment horizontal="center" vertical="center" wrapText="1"/>
      <protection hidden="1"/>
    </xf>
    <xf numFmtId="0" fontId="26" fillId="0" borderId="56" xfId="0" applyFont="1" applyFill="1" applyBorder="1" applyAlignment="1" applyProtection="1">
      <alignment horizontal="center" vertical="center" wrapText="1"/>
      <protection hidden="1"/>
    </xf>
    <xf numFmtId="0" fontId="26" fillId="0" borderId="37" xfId="0" applyFont="1" applyFill="1" applyBorder="1" applyAlignment="1" applyProtection="1">
      <alignment horizontal="center" vertical="center" wrapText="1"/>
      <protection hidden="1"/>
    </xf>
    <xf numFmtId="0" fontId="26" fillId="0" borderId="41" xfId="2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vertical="center"/>
      <protection hidden="1"/>
    </xf>
    <xf numFmtId="0" fontId="10" fillId="0" borderId="24" xfId="0" applyFont="1" applyFill="1" applyBorder="1" applyAlignment="1" applyProtection="1">
      <alignment vertical="center"/>
      <protection hidden="1"/>
    </xf>
    <xf numFmtId="0" fontId="26" fillId="0" borderId="11" xfId="2" applyFont="1" applyFill="1" applyBorder="1" applyAlignment="1" applyProtection="1">
      <alignment horizontal="left" vertical="center" indent="2"/>
      <protection hidden="1"/>
    </xf>
    <xf numFmtId="0" fontId="26" fillId="0" borderId="10" xfId="2" applyFont="1" applyFill="1" applyBorder="1" applyAlignment="1" applyProtection="1">
      <alignment horizontal="center" vertical="center"/>
      <protection locked="0" hidden="1"/>
    </xf>
    <xf numFmtId="0" fontId="21" fillId="0" borderId="10" xfId="2" applyFont="1" applyFill="1" applyBorder="1" applyAlignment="1" applyProtection="1">
      <alignment horizontal="center" vertical="center"/>
      <protection hidden="1"/>
    </xf>
    <xf numFmtId="0" fontId="21" fillId="0" borderId="23" xfId="2" applyFont="1" applyFill="1" applyBorder="1" applyAlignment="1" applyProtection="1">
      <alignment horizontal="center" vertical="center"/>
      <protection hidden="1"/>
    </xf>
    <xf numFmtId="0" fontId="21" fillId="0" borderId="25" xfId="2" applyFont="1" applyFill="1" applyBorder="1" applyAlignment="1" applyProtection="1">
      <alignment horizontal="center" vertical="center"/>
      <protection hidden="1"/>
    </xf>
    <xf numFmtId="0" fontId="10" fillId="0" borderId="16" xfId="0" applyFont="1" applyFill="1" applyBorder="1" applyAlignment="1" applyProtection="1">
      <alignment vertical="center"/>
      <protection hidden="1"/>
    </xf>
    <xf numFmtId="0" fontId="26" fillId="0" borderId="31" xfId="2" applyFont="1" applyFill="1" applyBorder="1" applyAlignment="1" applyProtection="1">
      <alignment horizontal="left" vertical="center" indent="2"/>
      <protection hidden="1"/>
    </xf>
    <xf numFmtId="0" fontId="21" fillId="0" borderId="14" xfId="2" applyFont="1" applyFill="1" applyBorder="1" applyAlignment="1" applyProtection="1">
      <alignment horizontal="center" vertical="center"/>
      <protection hidden="1"/>
    </xf>
    <xf numFmtId="0" fontId="21" fillId="0" borderId="15" xfId="2" applyFont="1" applyFill="1" applyBorder="1" applyAlignment="1" applyProtection="1">
      <alignment horizontal="center" vertical="center"/>
      <protection hidden="1"/>
    </xf>
    <xf numFmtId="0" fontId="21" fillId="0" borderId="17" xfId="2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vertical="center"/>
      <protection hidden="1"/>
    </xf>
    <xf numFmtId="0" fontId="26" fillId="0" borderId="57" xfId="2" applyFont="1" applyFill="1" applyBorder="1" applyAlignment="1" applyProtection="1">
      <alignment horizontal="left" vertical="center" indent="2"/>
      <protection hidden="1"/>
    </xf>
    <xf numFmtId="0" fontId="26" fillId="0" borderId="8" xfId="2" applyFont="1" applyFill="1" applyBorder="1" applyAlignment="1" applyProtection="1">
      <alignment horizontal="left" vertical="center" indent="2"/>
      <protection hidden="1"/>
    </xf>
    <xf numFmtId="0" fontId="26" fillId="0" borderId="5" xfId="2" applyFont="1" applyFill="1" applyBorder="1" applyAlignment="1" applyProtection="1">
      <alignment horizontal="center" vertical="center"/>
      <protection locked="0" hidden="1"/>
    </xf>
    <xf numFmtId="0" fontId="21" fillId="0" borderId="20" xfId="2" applyFont="1" applyFill="1" applyBorder="1" applyAlignment="1" applyProtection="1">
      <alignment horizontal="center" vertical="center"/>
      <protection hidden="1"/>
    </xf>
    <xf numFmtId="0" fontId="21" fillId="0" borderId="21" xfId="2" applyFont="1" applyFill="1" applyBorder="1" applyAlignment="1" applyProtection="1">
      <alignment horizontal="center" vertical="center"/>
      <protection hidden="1"/>
    </xf>
    <xf numFmtId="0" fontId="21" fillId="0" borderId="22" xfId="2" applyFont="1" applyFill="1" applyBorder="1" applyAlignment="1" applyProtection="1">
      <alignment horizontal="center" vertical="center"/>
      <protection hidden="1"/>
    </xf>
    <xf numFmtId="0" fontId="21" fillId="0" borderId="1" xfId="2" applyFont="1" applyFill="1" applyBorder="1" applyAlignment="1" applyProtection="1">
      <alignment horizontal="center" vertical="center"/>
      <protection hidden="1"/>
    </xf>
    <xf numFmtId="0" fontId="21" fillId="0" borderId="12" xfId="2" applyFont="1" applyFill="1" applyBorder="1" applyAlignment="1" applyProtection="1">
      <alignment horizontal="center" vertical="center"/>
      <protection hidden="1"/>
    </xf>
    <xf numFmtId="0" fontId="21" fillId="0" borderId="2" xfId="2" applyFont="1" applyFill="1" applyBorder="1" applyAlignment="1" applyProtection="1">
      <alignment horizontal="center" vertical="center"/>
      <protection hidden="1"/>
    </xf>
    <xf numFmtId="0" fontId="21" fillId="0" borderId="13" xfId="2" applyFont="1" applyFill="1" applyBorder="1" applyAlignment="1" applyProtection="1">
      <alignment horizontal="center" vertical="center"/>
      <protection hidden="1"/>
    </xf>
    <xf numFmtId="0" fontId="21" fillId="0" borderId="16" xfId="2" applyFont="1" applyFill="1" applyBorder="1" applyAlignment="1" applyProtection="1">
      <alignment horizontal="center" vertical="center"/>
      <protection hidden="1"/>
    </xf>
    <xf numFmtId="0" fontId="26" fillId="0" borderId="55" xfId="2" applyFont="1" applyFill="1" applyBorder="1" applyAlignment="1" applyProtection="1">
      <alignment horizontal="left" vertical="center" indent="2"/>
      <protection hidden="1"/>
    </xf>
    <xf numFmtId="0" fontId="21" fillId="0" borderId="5" xfId="2" applyFont="1" applyFill="1" applyBorder="1" applyAlignment="1" applyProtection="1">
      <alignment horizontal="center" vertical="center"/>
      <protection hidden="1"/>
    </xf>
    <xf numFmtId="0" fontId="21" fillId="0" borderId="18" xfId="2" applyFont="1" applyFill="1" applyBorder="1" applyAlignment="1" applyProtection="1">
      <alignment horizontal="center" vertical="center"/>
      <protection hidden="1"/>
    </xf>
    <xf numFmtId="0" fontId="21" fillId="0" borderId="19" xfId="2" applyFont="1" applyFill="1" applyBorder="1" applyAlignment="1" applyProtection="1">
      <alignment horizontal="center" vertical="center"/>
      <protection hidden="1"/>
    </xf>
    <xf numFmtId="0" fontId="21" fillId="0" borderId="6" xfId="2" applyFont="1" applyFill="1" applyBorder="1" applyAlignment="1" applyProtection="1">
      <alignment horizontal="center" vertical="center"/>
      <protection hidden="1"/>
    </xf>
    <xf numFmtId="0" fontId="10" fillId="0" borderId="19" xfId="0" applyFont="1" applyFill="1" applyBorder="1" applyAlignment="1" applyProtection="1">
      <alignment vertical="center"/>
      <protection hidden="1"/>
    </xf>
    <xf numFmtId="0" fontId="21" fillId="0" borderId="30" xfId="0" applyFont="1" applyFill="1" applyBorder="1" applyAlignment="1" applyProtection="1">
      <alignment horizontal="center" vertical="center" wrapText="1"/>
      <protection hidden="1"/>
    </xf>
    <xf numFmtId="0" fontId="39" fillId="0" borderId="30" xfId="0" applyFont="1" applyFill="1" applyBorder="1" applyAlignment="1" applyProtection="1">
      <alignment horizontal="left" vertical="center" wrapText="1"/>
      <protection hidden="1"/>
    </xf>
    <xf numFmtId="0" fontId="39" fillId="0" borderId="30" xfId="0" applyFont="1" applyFill="1" applyBorder="1" applyAlignment="1" applyProtection="1">
      <alignment vertical="center" wrapText="1"/>
      <protection hidden="1"/>
    </xf>
    <xf numFmtId="0" fontId="26" fillId="0" borderId="43" xfId="2" applyFont="1" applyFill="1" applyBorder="1" applyAlignment="1" applyProtection="1">
      <alignment vertical="center"/>
      <protection hidden="1"/>
    </xf>
    <xf numFmtId="0" fontId="21" fillId="0" borderId="40" xfId="2" applyFont="1" applyFill="1" applyBorder="1" applyAlignment="1" applyProtection="1">
      <alignment horizontal="center" vertical="center"/>
      <protection hidden="1"/>
    </xf>
    <xf numFmtId="0" fontId="21" fillId="0" borderId="56" xfId="2" applyFont="1" applyFill="1" applyBorder="1" applyAlignment="1" applyProtection="1">
      <alignment horizontal="center" vertical="center"/>
      <protection hidden="1"/>
    </xf>
    <xf numFmtId="0" fontId="21" fillId="0" borderId="80" xfId="2" applyFont="1" applyFill="1" applyBorder="1" applyAlignment="1" applyProtection="1">
      <alignment horizontal="center" vertical="center"/>
      <protection hidden="1"/>
    </xf>
    <xf numFmtId="0" fontId="21" fillId="0" borderId="68" xfId="2" applyFont="1" applyFill="1" applyBorder="1" applyAlignment="1" applyProtection="1">
      <alignment horizontal="center" vertical="center"/>
      <protection hidden="1"/>
    </xf>
    <xf numFmtId="0" fontId="21" fillId="0" borderId="46" xfId="2" applyFont="1" applyFill="1" applyBorder="1" applyAlignment="1" applyProtection="1">
      <alignment horizontal="center" vertical="center"/>
      <protection hidden="1"/>
    </xf>
    <xf numFmtId="0" fontId="21" fillId="0" borderId="67" xfId="2" applyFont="1" applyFill="1" applyBorder="1" applyAlignment="1" applyProtection="1">
      <alignment horizontal="center" vertical="center"/>
      <protection hidden="1"/>
    </xf>
    <xf numFmtId="0" fontId="21" fillId="0" borderId="81" xfId="2" applyFont="1" applyFill="1" applyBorder="1" applyAlignment="1" applyProtection="1">
      <alignment horizontal="center" vertical="center"/>
      <protection hidden="1"/>
    </xf>
    <xf numFmtId="0" fontId="26" fillId="0" borderId="3" xfId="2" applyFont="1" applyFill="1" applyBorder="1" applyAlignment="1" applyProtection="1">
      <alignment horizontal="center" vertical="center"/>
      <protection locked="0" hidden="1"/>
    </xf>
    <xf numFmtId="0" fontId="26" fillId="0" borderId="7" xfId="2" applyFont="1" applyFill="1" applyBorder="1" applyAlignment="1" applyProtection="1">
      <alignment horizontal="center" vertical="center"/>
      <protection locked="0" hidden="1"/>
    </xf>
    <xf numFmtId="0" fontId="3" fillId="0" borderId="0" xfId="2" applyFont="1" applyFill="1" applyAlignment="1" applyProtection="1">
      <alignment vertical="center"/>
      <protection hidden="1"/>
    </xf>
    <xf numFmtId="0" fontId="3" fillId="0" borderId="0" xfId="2" applyFont="1" applyFill="1" applyAlignment="1" applyProtection="1">
      <alignment horizontal="center" vertical="center"/>
      <protection hidden="1"/>
    </xf>
    <xf numFmtId="0" fontId="21" fillId="0" borderId="52" xfId="2" applyFont="1" applyFill="1" applyBorder="1" applyAlignment="1" applyProtection="1">
      <alignment horizontal="center" vertical="center"/>
      <protection hidden="1"/>
    </xf>
    <xf numFmtId="0" fontId="21" fillId="0" borderId="54" xfId="2" applyFont="1" applyFill="1" applyBorder="1" applyAlignment="1" applyProtection="1">
      <alignment horizontal="center" vertical="center"/>
      <protection hidden="1"/>
    </xf>
    <xf numFmtId="0" fontId="21" fillId="0" borderId="39" xfId="0" applyFont="1" applyFill="1" applyBorder="1" applyAlignment="1" applyProtection="1">
      <alignment horizontal="center" vertical="center"/>
      <protection hidden="1"/>
    </xf>
    <xf numFmtId="0" fontId="21" fillId="0" borderId="58" xfId="2" applyFont="1" applyFill="1" applyBorder="1" applyAlignment="1" applyProtection="1">
      <alignment horizontal="center" vertical="center"/>
      <protection hidden="1"/>
    </xf>
    <xf numFmtId="0" fontId="21" fillId="0" borderId="38" xfId="2" applyFont="1" applyFill="1" applyBorder="1" applyAlignment="1" applyProtection="1">
      <alignment horizontal="center" vertical="center"/>
      <protection hidden="1"/>
    </xf>
    <xf numFmtId="0" fontId="21" fillId="0" borderId="39" xfId="2" applyFont="1" applyFill="1" applyBorder="1" applyAlignment="1" applyProtection="1">
      <alignment horizontal="center" vertical="center"/>
      <protection hidden="1"/>
    </xf>
    <xf numFmtId="0" fontId="26" fillId="0" borderId="4" xfId="2" applyFont="1" applyFill="1" applyBorder="1" applyAlignment="1" applyProtection="1">
      <alignment horizontal="left" vertical="center" wrapText="1"/>
      <protection hidden="1"/>
    </xf>
    <xf numFmtId="0" fontId="26" fillId="0" borderId="35" xfId="2" applyFont="1" applyFill="1" applyBorder="1" applyAlignment="1" applyProtection="1">
      <alignment horizontal="center" vertical="center"/>
      <protection locked="0" hidden="1"/>
    </xf>
    <xf numFmtId="0" fontId="21" fillId="0" borderId="35" xfId="0" applyFont="1" applyFill="1" applyBorder="1" applyAlignment="1" applyProtection="1">
      <alignment horizontal="center" vertical="center"/>
      <protection hidden="1"/>
    </xf>
    <xf numFmtId="0" fontId="21" fillId="0" borderId="35" xfId="2" applyFont="1" applyFill="1" applyBorder="1" applyAlignment="1" applyProtection="1">
      <alignment horizontal="center" vertical="center"/>
      <protection locked="0" hidden="1"/>
    </xf>
    <xf numFmtId="0" fontId="21" fillId="0" borderId="35" xfId="2" applyFont="1" applyFill="1" applyBorder="1" applyAlignment="1" applyProtection="1">
      <alignment horizontal="center" vertical="center"/>
      <protection hidden="1"/>
    </xf>
    <xf numFmtId="0" fontId="26" fillId="0" borderId="31" xfId="2" applyFont="1" applyFill="1" applyBorder="1" applyAlignment="1" applyProtection="1">
      <alignment horizontal="left" vertical="center" wrapText="1"/>
      <protection hidden="1"/>
    </xf>
    <xf numFmtId="0" fontId="26" fillId="0" borderId="8" xfId="2" applyFont="1" applyFill="1" applyBorder="1" applyAlignment="1" applyProtection="1">
      <alignment horizontal="left" vertical="center"/>
      <protection hidden="1"/>
    </xf>
    <xf numFmtId="0" fontId="26" fillId="0" borderId="11" xfId="2" applyFont="1" applyFill="1" applyBorder="1" applyAlignment="1" applyProtection="1">
      <alignment horizontal="left" vertical="center" wrapText="1"/>
      <protection hidden="1"/>
    </xf>
    <xf numFmtId="0" fontId="26" fillId="0" borderId="35" xfId="2" applyFont="1" applyFill="1" applyBorder="1" applyAlignment="1" applyProtection="1">
      <alignment vertical="center"/>
      <protection locked="0" hidden="1"/>
    </xf>
    <xf numFmtId="0" fontId="26" fillId="0" borderId="59" xfId="2" applyFont="1" applyFill="1" applyBorder="1" applyAlignment="1" applyProtection="1">
      <alignment horizontal="left" vertical="center" wrapText="1"/>
      <protection hidden="1"/>
    </xf>
    <xf numFmtId="0" fontId="26" fillId="0" borderId="60" xfId="2" applyFont="1" applyFill="1" applyBorder="1" applyAlignment="1" applyProtection="1">
      <alignment horizontal="left" vertical="center" wrapText="1"/>
      <protection hidden="1"/>
    </xf>
    <xf numFmtId="0" fontId="26" fillId="0" borderId="61" xfId="2" applyFont="1" applyFill="1" applyBorder="1" applyAlignment="1" applyProtection="1">
      <alignment horizontal="left" vertical="center"/>
      <protection hidden="1"/>
    </xf>
    <xf numFmtId="0" fontId="40" fillId="0" borderId="0" xfId="0" applyFont="1" applyFill="1" applyAlignment="1" applyProtection="1">
      <alignment vertical="center"/>
      <protection hidden="1"/>
    </xf>
    <xf numFmtId="0" fontId="11" fillId="0" borderId="1" xfId="0" applyFont="1" applyFill="1" applyBorder="1" applyAlignment="1" applyProtection="1">
      <alignment vertical="center"/>
      <protection hidden="1"/>
    </xf>
    <xf numFmtId="0" fontId="11" fillId="0" borderId="2" xfId="0" applyFont="1" applyFill="1" applyBorder="1" applyAlignment="1" applyProtection="1">
      <alignment vertical="center"/>
      <protection hidden="1"/>
    </xf>
    <xf numFmtId="0" fontId="21" fillId="0" borderId="33" xfId="0" applyFont="1" applyFill="1" applyBorder="1" applyAlignment="1" applyProtection="1">
      <alignment vertical="center" wrapText="1"/>
      <protection hidden="1"/>
    </xf>
    <xf numFmtId="0" fontId="26" fillId="0" borderId="33" xfId="0" applyFont="1" applyFill="1" applyBorder="1" applyAlignment="1" applyProtection="1">
      <alignment horizontal="center" vertical="center" wrapText="1"/>
      <protection hidden="1"/>
    </xf>
    <xf numFmtId="0" fontId="10" fillId="0" borderId="20" xfId="0" applyFont="1" applyFill="1" applyBorder="1" applyAlignment="1" applyProtection="1">
      <alignment vertical="center"/>
      <protection hidden="1"/>
    </xf>
    <xf numFmtId="0" fontId="10" fillId="0" borderId="22" xfId="0" applyFont="1" applyFill="1" applyBorder="1" applyAlignment="1" applyProtection="1">
      <alignment vertical="center"/>
      <protection hidden="1"/>
    </xf>
    <xf numFmtId="0" fontId="26" fillId="0" borderId="34" xfId="0" applyFont="1" applyFill="1" applyBorder="1" applyAlignment="1" applyProtection="1">
      <alignment horizontal="center" vertical="center" wrapText="1"/>
      <protection locked="0" hidden="1"/>
    </xf>
    <xf numFmtId="0" fontId="26" fillId="0" borderId="42" xfId="0" applyFont="1" applyFill="1" applyBorder="1" applyAlignment="1" applyProtection="1">
      <alignment horizontal="center" vertical="center" wrapText="1"/>
      <protection hidden="1"/>
    </xf>
    <xf numFmtId="0" fontId="21" fillId="0" borderId="45" xfId="0" applyFont="1" applyFill="1" applyBorder="1" applyAlignment="1" applyProtection="1">
      <alignment vertical="center" wrapText="1"/>
      <protection hidden="1"/>
    </xf>
    <xf numFmtId="0" fontId="21" fillId="0" borderId="35" xfId="0" applyFont="1" applyFill="1" applyBorder="1" applyAlignment="1" applyProtection="1">
      <alignment vertical="center" wrapText="1"/>
      <protection hidden="1"/>
    </xf>
    <xf numFmtId="0" fontId="26" fillId="0" borderId="55" xfId="0" applyFont="1" applyFill="1" applyBorder="1" applyAlignment="1" applyProtection="1">
      <alignment horizontal="center" vertical="center" wrapText="1"/>
      <protection locked="0" hidden="1"/>
    </xf>
    <xf numFmtId="0" fontId="21" fillId="0" borderId="35" xfId="0" applyFont="1" applyFill="1" applyBorder="1" applyAlignment="1" applyProtection="1">
      <alignment vertical="center"/>
      <protection hidden="1"/>
    </xf>
    <xf numFmtId="0" fontId="26" fillId="0" borderId="48" xfId="0" applyFont="1" applyFill="1" applyBorder="1" applyAlignment="1" applyProtection="1">
      <alignment horizontal="center" vertical="center" wrapText="1"/>
      <protection hidden="1"/>
    </xf>
    <xf numFmtId="0" fontId="26" fillId="0" borderId="35" xfId="0" applyFont="1" applyFill="1" applyBorder="1" applyAlignment="1" applyProtection="1">
      <alignment horizontal="center" vertical="center" wrapText="1"/>
      <protection hidden="1"/>
    </xf>
    <xf numFmtId="0" fontId="21" fillId="0" borderId="0" xfId="2" applyFont="1" applyFill="1" applyAlignment="1" applyProtection="1">
      <alignment vertical="center"/>
      <protection hidden="1"/>
    </xf>
    <xf numFmtId="0" fontId="26" fillId="0" borderId="0" xfId="2" applyFont="1" applyFill="1" applyAlignment="1" applyProtection="1">
      <alignment horizontal="center" vertical="center"/>
      <protection hidden="1"/>
    </xf>
    <xf numFmtId="0" fontId="37" fillId="0" borderId="0" xfId="2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vertical="center"/>
      <protection hidden="1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1" fillId="0" borderId="29" xfId="0" applyFont="1" applyFill="1" applyBorder="1" applyAlignment="1" applyProtection="1">
      <alignment vertical="center"/>
      <protection hidden="1"/>
    </xf>
    <xf numFmtId="0" fontId="8" fillId="0" borderId="0" xfId="0" applyFont="1" applyFill="1" applyProtection="1"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60" xfId="0" applyFont="1" applyFill="1" applyBorder="1" applyAlignment="1" applyProtection="1">
      <alignment vertical="center"/>
      <protection hidden="1"/>
    </xf>
    <xf numFmtId="0" fontId="1" fillId="0" borderId="29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1" fillId="0" borderId="61" xfId="0" applyFont="1" applyFill="1" applyBorder="1" applyAlignment="1" applyProtection="1">
      <alignment vertical="center"/>
      <protection hidden="1"/>
    </xf>
    <xf numFmtId="0" fontId="1" fillId="0" borderId="9" xfId="0" applyFont="1" applyFill="1" applyBorder="1" applyAlignment="1" applyProtection="1">
      <alignment vertical="center"/>
      <protection hidden="1"/>
    </xf>
    <xf numFmtId="0" fontId="1" fillId="0" borderId="64" xfId="0" applyFont="1" applyFill="1" applyBorder="1" applyAlignment="1" applyProtection="1">
      <alignment vertical="center"/>
      <protection hidden="1"/>
    </xf>
    <xf numFmtId="0" fontId="1" fillId="0" borderId="65" xfId="0" applyFont="1" applyFill="1" applyBorder="1" applyAlignment="1" applyProtection="1">
      <alignment vertical="center"/>
      <protection hidden="1"/>
    </xf>
    <xf numFmtId="0" fontId="1" fillId="0" borderId="28" xfId="0" applyFont="1" applyFill="1" applyBorder="1" applyAlignment="1" applyProtection="1">
      <alignment vertical="center"/>
      <protection hidden="1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" fillId="0" borderId="66" xfId="0" applyFont="1" applyFill="1" applyBorder="1" applyAlignment="1" applyProtection="1">
      <alignment vertical="center"/>
      <protection hidden="1"/>
    </xf>
    <xf numFmtId="0" fontId="1" fillId="0" borderId="32" xfId="0" applyFont="1" applyFill="1" applyBorder="1" applyAlignment="1" applyProtection="1">
      <alignment vertical="center"/>
      <protection hidden="1"/>
    </xf>
    <xf numFmtId="0" fontId="1" fillId="0" borderId="63" xfId="0" applyFont="1" applyFill="1" applyBorder="1" applyAlignment="1" applyProtection="1">
      <alignment vertical="center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3" fillId="0" borderId="29" xfId="0" applyFont="1" applyFill="1" applyBorder="1" applyAlignment="1" applyProtection="1">
      <alignment horizontal="center" vertical="center" wrapText="1"/>
      <protection hidden="1"/>
    </xf>
    <xf numFmtId="0" fontId="1" fillId="0" borderId="62" xfId="0" applyFont="1" applyFill="1" applyBorder="1" applyAlignment="1" applyProtection="1">
      <alignment vertical="center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34" xfId="0" applyFont="1" applyFill="1" applyBorder="1" applyAlignment="1" applyProtection="1">
      <alignment horizontal="center" vertical="center"/>
      <protection hidden="1"/>
    </xf>
    <xf numFmtId="0" fontId="3" fillId="0" borderId="35" xfId="0" applyFont="1" applyFill="1" applyBorder="1" applyAlignment="1" applyProtection="1">
      <alignment horizontal="center" vertical="center"/>
      <protection hidden="1"/>
    </xf>
    <xf numFmtId="0" fontId="1" fillId="0" borderId="35" xfId="0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vertical="center"/>
      <protection hidden="1"/>
    </xf>
    <xf numFmtId="0" fontId="1" fillId="0" borderId="35" xfId="0" applyFont="1" applyFill="1" applyBorder="1" applyAlignment="1" applyProtection="1">
      <alignment vertical="center"/>
      <protection hidden="1"/>
    </xf>
    <xf numFmtId="0" fontId="1" fillId="0" borderId="39" xfId="0" applyFont="1" applyFill="1" applyBorder="1" applyAlignment="1" applyProtection="1">
      <alignment horizontal="center" vertical="center"/>
      <protection hidden="1"/>
    </xf>
    <xf numFmtId="0" fontId="1" fillId="0" borderId="44" xfId="0" applyFont="1" applyFill="1" applyBorder="1" applyAlignment="1" applyProtection="1">
      <alignment vertical="center"/>
      <protection hidden="1"/>
    </xf>
    <xf numFmtId="0" fontId="1" fillId="0" borderId="39" xfId="0" applyFont="1" applyFill="1" applyBorder="1" applyAlignment="1" applyProtection="1">
      <alignment vertical="center"/>
      <protection hidden="1"/>
    </xf>
    <xf numFmtId="0" fontId="1" fillId="0" borderId="57" xfId="0" applyFont="1" applyFill="1" applyBorder="1" applyAlignment="1" applyProtection="1">
      <alignment horizontal="center" vertical="center"/>
      <protection hidden="1"/>
    </xf>
    <xf numFmtId="0" fontId="1" fillId="0" borderId="57" xfId="0" applyFont="1" applyFill="1" applyBorder="1" applyAlignment="1" applyProtection="1">
      <alignment vertical="center"/>
      <protection hidden="1"/>
    </xf>
    <xf numFmtId="0" fontId="1" fillId="0" borderId="34" xfId="0" applyFont="1" applyFill="1" applyBorder="1" applyAlignment="1" applyProtection="1">
      <alignment vertical="center"/>
      <protection hidden="1"/>
    </xf>
    <xf numFmtId="0" fontId="3" fillId="0" borderId="35" xfId="0" applyFont="1" applyFill="1" applyBorder="1" applyAlignment="1" applyProtection="1">
      <alignment horizontal="center" vertical="center" wrapText="1"/>
      <protection hidden="1"/>
    </xf>
    <xf numFmtId="0" fontId="3" fillId="0" borderId="34" xfId="0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Fill="1" applyBorder="1" applyAlignment="1" applyProtection="1">
      <alignment horizontal="center" vertical="center"/>
      <protection hidden="1"/>
    </xf>
    <xf numFmtId="0" fontId="3" fillId="0" borderId="29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23" fillId="0" borderId="0" xfId="0" applyFont="1" applyFill="1" applyProtection="1">
      <protection locked="0"/>
    </xf>
    <xf numFmtId="0" fontId="21" fillId="0" borderId="70" xfId="0" applyFont="1" applyFill="1" applyBorder="1" applyAlignment="1" applyProtection="1">
      <alignment horizontal="left"/>
      <protection locked="0"/>
    </xf>
    <xf numFmtId="0" fontId="24" fillId="0" borderId="91" xfId="0" applyFont="1" applyFill="1" applyBorder="1" applyProtection="1">
      <protection locked="0"/>
    </xf>
    <xf numFmtId="0" fontId="24" fillId="0" borderId="105" xfId="0" applyFont="1" applyFill="1" applyBorder="1" applyProtection="1"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19" fillId="0" borderId="0" xfId="0" applyFont="1" applyFill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 indent="2"/>
      <protection locked="0"/>
    </xf>
    <xf numFmtId="0" fontId="15" fillId="0" borderId="0" xfId="0" applyFont="1" applyFill="1" applyAlignment="1" applyProtection="1">
      <alignment horizontal="left" indent="2"/>
      <protection locked="0"/>
    </xf>
    <xf numFmtId="0" fontId="18" fillId="0" borderId="0" xfId="3" applyFont="1" applyFill="1" applyAlignment="1" applyProtection="1">
      <alignment horizontal="left" indent="2"/>
      <protection locked="0"/>
    </xf>
    <xf numFmtId="0" fontId="18" fillId="0" borderId="0" xfId="3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hidden="1"/>
    </xf>
    <xf numFmtId="3" fontId="26" fillId="0" borderId="82" xfId="0" applyNumberFormat="1" applyFont="1" applyFill="1" applyBorder="1" applyAlignment="1" applyProtection="1">
      <alignment horizontal="center" vertical="center"/>
      <protection locked="0"/>
    </xf>
    <xf numFmtId="3" fontId="26" fillId="0" borderId="82" xfId="0" quotePrefix="1" applyNumberFormat="1" applyFont="1" applyFill="1" applyBorder="1" applyAlignment="1" applyProtection="1">
      <alignment horizontal="centerContinuous" vertical="center" wrapText="1" shrinkToFit="1"/>
      <protection locked="0"/>
    </xf>
    <xf numFmtId="3" fontId="26" fillId="0" borderId="79" xfId="0" applyNumberFormat="1" applyFont="1" applyFill="1" applyBorder="1" applyAlignment="1" applyProtection="1">
      <alignment horizontal="center" vertical="center"/>
      <protection locked="0"/>
    </xf>
    <xf numFmtId="164" fontId="26" fillId="0" borderId="84" xfId="0" applyNumberFormat="1" applyFont="1" applyFill="1" applyBorder="1" applyAlignment="1" applyProtection="1">
      <alignment horizontal="center" vertical="center"/>
      <protection locked="0"/>
    </xf>
    <xf numFmtId="164" fontId="26" fillId="0" borderId="89" xfId="0" applyNumberFormat="1" applyFont="1" applyFill="1" applyBorder="1" applyAlignment="1" applyProtection="1">
      <alignment horizontal="center" vertical="center"/>
      <protection locked="0"/>
    </xf>
    <xf numFmtId="164" fontId="21" fillId="0" borderId="90" xfId="0" applyNumberFormat="1" applyFont="1" applyFill="1" applyBorder="1" applyAlignment="1" applyProtection="1">
      <alignment horizontal="center" vertical="center"/>
      <protection locked="0"/>
    </xf>
    <xf numFmtId="3" fontId="28" fillId="0" borderId="76" xfId="0" applyNumberFormat="1" applyFont="1" applyFill="1" applyBorder="1" applyAlignment="1" applyProtection="1">
      <alignment horizontal="center" vertical="center"/>
      <protection locked="0"/>
    </xf>
    <xf numFmtId="0" fontId="0" fillId="0" borderId="74" xfId="0" applyFill="1" applyBorder="1" applyProtection="1">
      <protection locked="0"/>
    </xf>
    <xf numFmtId="164" fontId="26" fillId="0" borderId="92" xfId="0" applyNumberFormat="1" applyFont="1" applyFill="1" applyBorder="1" applyAlignment="1" applyProtection="1">
      <alignment horizontal="center" vertical="center"/>
      <protection locked="0"/>
    </xf>
    <xf numFmtId="164" fontId="26" fillId="0" borderId="91" xfId="0" applyNumberFormat="1" applyFont="1" applyFill="1" applyBorder="1" applyAlignment="1" applyProtection="1">
      <alignment horizontal="center" vertical="center"/>
      <protection locked="0"/>
    </xf>
    <xf numFmtId="164" fontId="21" fillId="0" borderId="95" xfId="0" applyNumberFormat="1" applyFont="1" applyFill="1" applyBorder="1" applyAlignment="1" applyProtection="1">
      <alignment horizontal="center" vertical="center"/>
      <protection hidden="1"/>
    </xf>
    <xf numFmtId="164" fontId="26" fillId="0" borderId="94" xfId="0" applyNumberFormat="1" applyFont="1" applyFill="1" applyBorder="1" applyAlignment="1" applyProtection="1">
      <alignment horizontal="center" vertical="center"/>
      <protection locked="0"/>
    </xf>
    <xf numFmtId="164" fontId="26" fillId="0" borderId="0" xfId="0" applyNumberFormat="1" applyFont="1" applyFill="1" applyAlignment="1" applyProtection="1">
      <alignment horizontal="center" vertical="center"/>
      <protection locked="0"/>
    </xf>
    <xf numFmtId="164" fontId="21" fillId="0" borderId="77" xfId="0" applyNumberFormat="1" applyFont="1" applyFill="1" applyBorder="1" applyAlignment="1" applyProtection="1">
      <alignment horizontal="center" vertical="center"/>
      <protection hidden="1"/>
    </xf>
    <xf numFmtId="164" fontId="21" fillId="0" borderId="82" xfId="0" applyNumberFormat="1" applyFont="1" applyFill="1" applyBorder="1" applyAlignment="1" applyProtection="1">
      <alignment horizontal="center" vertical="center"/>
      <protection hidden="1"/>
    </xf>
    <xf numFmtId="164" fontId="26" fillId="0" borderId="93" xfId="0" applyNumberFormat="1" applyFont="1" applyFill="1" applyBorder="1" applyAlignment="1" applyProtection="1">
      <alignment horizontal="center" vertical="center"/>
      <protection locked="0"/>
    </xf>
    <xf numFmtId="164" fontId="26" fillId="0" borderId="64" xfId="0" applyNumberFormat="1" applyFont="1" applyFill="1" applyBorder="1" applyAlignment="1" applyProtection="1">
      <alignment horizontal="center" vertical="center"/>
      <protection locked="0"/>
    </xf>
    <xf numFmtId="164" fontId="21" fillId="0" borderId="93" xfId="0" applyNumberFormat="1" applyFont="1" applyFill="1" applyBorder="1" applyAlignment="1" applyProtection="1">
      <alignment horizontal="center" vertical="center"/>
      <protection hidden="1"/>
    </xf>
    <xf numFmtId="164" fontId="26" fillId="0" borderId="78" xfId="0" applyNumberFormat="1" applyFont="1" applyFill="1" applyBorder="1" applyAlignment="1" applyProtection="1">
      <alignment horizontal="center" vertical="center"/>
      <protection locked="0"/>
    </xf>
    <xf numFmtId="164" fontId="21" fillId="0" borderId="78" xfId="0" applyNumberFormat="1" applyFont="1" applyFill="1" applyBorder="1" applyAlignment="1" applyProtection="1">
      <alignment horizontal="center" vertical="center"/>
      <protection hidden="1"/>
    </xf>
    <xf numFmtId="164" fontId="21" fillId="0" borderId="82" xfId="0" applyNumberFormat="1" applyFont="1" applyFill="1" applyBorder="1" applyAlignment="1" applyProtection="1">
      <alignment horizontal="center" vertical="center"/>
      <protection locked="0" hidden="1"/>
    </xf>
    <xf numFmtId="3" fontId="28" fillId="0" borderId="0" xfId="0" applyNumberFormat="1" applyFont="1" applyFill="1" applyAlignment="1" applyProtection="1">
      <alignment horizontal="center" vertical="center" wrapText="1"/>
      <protection locked="0"/>
    </xf>
    <xf numFmtId="3" fontId="28" fillId="0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Font="1" applyFill="1" applyProtection="1"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3" fontId="27" fillId="0" borderId="43" xfId="0" applyNumberFormat="1" applyFont="1" applyFill="1" applyBorder="1" applyAlignment="1" applyProtection="1">
      <alignment vertical="center"/>
      <protection locked="0"/>
    </xf>
    <xf numFmtId="3" fontId="27" fillId="0" borderId="0" xfId="0" applyNumberFormat="1" applyFont="1" applyFill="1" applyAlignment="1" applyProtection="1">
      <alignment vertical="center"/>
      <protection locked="0"/>
    </xf>
    <xf numFmtId="3" fontId="29" fillId="0" borderId="0" xfId="0" applyNumberFormat="1" applyFont="1" applyFill="1" applyAlignment="1" applyProtection="1">
      <alignment horizontal="right" vertical="center"/>
      <protection locked="0"/>
    </xf>
    <xf numFmtId="3" fontId="29" fillId="0" borderId="0" xfId="0" applyNumberFormat="1" applyFont="1" applyFill="1" applyAlignment="1" applyProtection="1">
      <alignment horizontal="left" vertical="center"/>
      <protection locked="0"/>
    </xf>
    <xf numFmtId="3" fontId="30" fillId="0" borderId="0" xfId="1" applyNumberFormat="1" applyFont="1" applyFill="1" applyBorder="1" applyAlignment="1" applyProtection="1">
      <alignment vertical="center"/>
      <protection locked="0"/>
    </xf>
    <xf numFmtId="3" fontId="27" fillId="0" borderId="0" xfId="0" applyNumberFormat="1" applyFont="1" applyFill="1" applyProtection="1"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0" fontId="26" fillId="0" borderId="0" xfId="0" applyFont="1" applyFill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vertical="center" wrapText="1"/>
      <protection locked="0"/>
    </xf>
    <xf numFmtId="0" fontId="26" fillId="0" borderId="35" xfId="0" applyFont="1" applyFill="1" applyBorder="1" applyAlignment="1" applyProtection="1">
      <alignment horizontal="center" vertical="center" wrapText="1"/>
      <protection locked="0"/>
    </xf>
    <xf numFmtId="0" fontId="26" fillId="0" borderId="35" xfId="0" applyFont="1" applyFill="1" applyBorder="1" applyAlignment="1" applyProtection="1">
      <alignment vertical="center"/>
      <protection locked="0"/>
    </xf>
    <xf numFmtId="0" fontId="26" fillId="0" borderId="33" xfId="0" applyFont="1" applyFill="1" applyBorder="1" applyAlignment="1" applyProtection="1">
      <alignment vertical="center"/>
      <protection locked="0"/>
    </xf>
    <xf numFmtId="0" fontId="26" fillId="0" borderId="44" xfId="0" applyFont="1" applyFill="1" applyBorder="1" applyAlignment="1" applyProtection="1">
      <alignment vertical="center"/>
      <protection locked="0"/>
    </xf>
    <xf numFmtId="0" fontId="31" fillId="0" borderId="0" xfId="0" applyFont="1" applyFill="1" applyProtection="1">
      <protection locked="0"/>
    </xf>
    <xf numFmtId="0" fontId="26" fillId="0" borderId="45" xfId="0" applyFont="1" applyFill="1" applyBorder="1" applyAlignment="1" applyProtection="1">
      <alignment vertical="center"/>
      <protection locked="0"/>
    </xf>
    <xf numFmtId="0" fontId="21" fillId="0" borderId="30" xfId="0" applyFont="1" applyFill="1" applyBorder="1" applyAlignment="1" applyProtection="1">
      <alignment vertical="center" wrapText="1"/>
      <protection locked="0"/>
    </xf>
    <xf numFmtId="0" fontId="26" fillId="0" borderId="30" xfId="0" applyFont="1" applyFill="1" applyBorder="1" applyAlignment="1" applyProtection="1">
      <alignment horizontal="center" vertical="center" wrapText="1"/>
      <protection locked="0"/>
    </xf>
    <xf numFmtId="0" fontId="26" fillId="0" borderId="30" xfId="0" applyFont="1" applyFill="1" applyBorder="1" applyAlignment="1" applyProtection="1">
      <alignment vertical="center"/>
      <protection locked="0"/>
    </xf>
    <xf numFmtId="0" fontId="26" fillId="0" borderId="46" xfId="0" applyFont="1" applyFill="1" applyBorder="1" applyAlignment="1" applyProtection="1">
      <alignment vertical="center"/>
      <protection locked="0"/>
    </xf>
    <xf numFmtId="0" fontId="26" fillId="0" borderId="32" xfId="0" applyFont="1" applyFill="1" applyBorder="1" applyAlignment="1" applyProtection="1">
      <alignment vertical="center"/>
      <protection locked="0"/>
    </xf>
    <xf numFmtId="0" fontId="21" fillId="0" borderId="34" xfId="0" applyFont="1" applyFill="1" applyBorder="1" applyAlignment="1" applyProtection="1">
      <alignment vertical="center" wrapText="1"/>
      <protection locked="0"/>
    </xf>
    <xf numFmtId="0" fontId="26" fillId="0" borderId="34" xfId="0" applyFont="1" applyFill="1" applyBorder="1" applyAlignment="1" applyProtection="1">
      <alignment horizontal="center" vertical="center" wrapText="1"/>
      <protection locked="0"/>
    </xf>
    <xf numFmtId="0" fontId="26" fillId="0" borderId="34" xfId="0" applyFont="1" applyFill="1" applyBorder="1" applyAlignment="1" applyProtection="1">
      <alignment vertical="center"/>
      <protection locked="0"/>
    </xf>
    <xf numFmtId="0" fontId="26" fillId="0" borderId="47" xfId="0" applyFont="1" applyFill="1" applyBorder="1" applyAlignment="1" applyProtection="1">
      <alignment vertical="center"/>
      <protection locked="0"/>
    </xf>
    <xf numFmtId="0" fontId="26" fillId="0" borderId="6" xfId="0" applyFont="1" applyFill="1" applyBorder="1" applyAlignment="1" applyProtection="1">
      <alignment vertical="center"/>
      <protection locked="0"/>
    </xf>
    <xf numFmtId="0" fontId="19" fillId="0" borderId="0" xfId="0" applyFont="1" applyFill="1" applyAlignment="1" applyProtection="1">
      <alignment vertical="center" wrapText="1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Protection="1">
      <protection locked="0"/>
    </xf>
    <xf numFmtId="0" fontId="2" fillId="0" borderId="102" xfId="1" applyFill="1" applyBorder="1" applyAlignment="1" applyProtection="1">
      <alignment horizontal="left" indent="2"/>
      <protection locked="0"/>
    </xf>
    <xf numFmtId="0" fontId="2" fillId="0" borderId="103" xfId="1" applyFill="1" applyBorder="1" applyAlignment="1" applyProtection="1">
      <alignment horizontal="left" indent="2"/>
      <protection locked="0"/>
    </xf>
    <xf numFmtId="0" fontId="2" fillId="0" borderId="104" xfId="1" applyFill="1" applyBorder="1" applyAlignment="1" applyProtection="1">
      <alignment horizontal="left" indent="2"/>
      <protection locked="0"/>
    </xf>
    <xf numFmtId="0" fontId="0" fillId="0" borderId="101" xfId="0" applyFill="1" applyBorder="1" applyAlignment="1" applyProtection="1">
      <alignment horizontal="left" indent="2"/>
      <protection locked="0"/>
    </xf>
    <xf numFmtId="0" fontId="0" fillId="0" borderId="60" xfId="0" applyFill="1" applyBorder="1" applyAlignment="1" applyProtection="1">
      <alignment horizontal="left" indent="2"/>
      <protection locked="0"/>
    </xf>
    <xf numFmtId="0" fontId="0" fillId="0" borderId="100" xfId="0" applyFill="1" applyBorder="1" applyAlignment="1" applyProtection="1">
      <alignment horizontal="left" indent="2"/>
      <protection locked="0"/>
    </xf>
    <xf numFmtId="0" fontId="21" fillId="0" borderId="50" xfId="0" applyFont="1" applyFill="1" applyBorder="1" applyAlignment="1" applyProtection="1">
      <alignment horizontal="center" vertical="center" wrapText="1"/>
      <protection locked="0"/>
    </xf>
    <xf numFmtId="0" fontId="21" fillId="0" borderId="55" xfId="0" applyFont="1" applyFill="1" applyBorder="1" applyAlignment="1" applyProtection="1">
      <alignment horizontal="center" vertical="center" wrapText="1"/>
      <protection locked="0"/>
    </xf>
    <xf numFmtId="0" fontId="21" fillId="0" borderId="76" xfId="0" applyFont="1" applyFill="1" applyBorder="1" applyAlignment="1" applyProtection="1">
      <alignment horizontal="center"/>
      <protection locked="0"/>
    </xf>
    <xf numFmtId="0" fontId="21" fillId="0" borderId="75" xfId="0" applyFont="1" applyFill="1" applyBorder="1" applyAlignment="1" applyProtection="1">
      <alignment horizontal="center"/>
      <protection locked="0"/>
    </xf>
    <xf numFmtId="0" fontId="0" fillId="0" borderId="50" xfId="0" applyFill="1" applyBorder="1" applyAlignment="1" applyProtection="1">
      <alignment vertical="center" wrapText="1"/>
      <protection locked="0"/>
    </xf>
    <xf numFmtId="0" fontId="0" fillId="0" borderId="43" xfId="0" applyFill="1" applyBorder="1" applyAlignment="1" applyProtection="1">
      <alignment vertical="center" wrapText="1"/>
      <protection locked="0"/>
    </xf>
    <xf numFmtId="0" fontId="21" fillId="0" borderId="96" xfId="0" applyFont="1" applyFill="1" applyBorder="1" applyAlignment="1" applyProtection="1">
      <alignment horizontal="center" vertical="center" wrapText="1"/>
      <protection locked="0"/>
    </xf>
    <xf numFmtId="0" fontId="21" fillId="0" borderId="78" xfId="0" applyFont="1" applyFill="1" applyBorder="1" applyAlignment="1" applyProtection="1">
      <alignment horizontal="center" vertical="center" wrapText="1"/>
      <protection locked="0"/>
    </xf>
    <xf numFmtId="0" fontId="21" fillId="0" borderId="85" xfId="0" applyFont="1" applyFill="1" applyBorder="1" applyAlignment="1" applyProtection="1">
      <alignment horizontal="center" vertical="center" wrapText="1"/>
      <protection locked="0"/>
    </xf>
    <xf numFmtId="0" fontId="26" fillId="0" borderId="64" xfId="0" applyFont="1" applyFill="1" applyBorder="1" applyAlignment="1" applyProtection="1">
      <alignment horizontal="center"/>
      <protection locked="0"/>
    </xf>
    <xf numFmtId="0" fontId="21" fillId="0" borderId="70" xfId="0" applyFont="1" applyFill="1" applyBorder="1" applyAlignment="1" applyProtection="1">
      <alignment horizontal="center" vertical="center" wrapText="1"/>
      <protection locked="0"/>
    </xf>
    <xf numFmtId="0" fontId="26" fillId="0" borderId="71" xfId="0" applyFont="1" applyFill="1" applyBorder="1" applyAlignment="1" applyProtection="1">
      <alignment horizontal="center" vertical="center" wrapText="1"/>
      <protection locked="0"/>
    </xf>
    <xf numFmtId="0" fontId="26" fillId="0" borderId="7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6" fillId="0" borderId="71" xfId="0" applyFont="1" applyFill="1" applyBorder="1" applyAlignment="1" applyProtection="1">
      <alignment wrapText="1"/>
      <protection locked="0"/>
    </xf>
    <xf numFmtId="0" fontId="26" fillId="0" borderId="86" xfId="0" applyFont="1" applyFill="1" applyBorder="1" applyAlignment="1" applyProtection="1">
      <alignment wrapText="1"/>
      <protection locked="0"/>
    </xf>
    <xf numFmtId="0" fontId="26" fillId="0" borderId="72" xfId="0" applyFont="1" applyFill="1" applyBorder="1" applyAlignment="1" applyProtection="1">
      <alignment wrapText="1"/>
      <protection locked="0"/>
    </xf>
    <xf numFmtId="0" fontId="26" fillId="0" borderId="0" xfId="0" applyFont="1" applyFill="1" applyAlignment="1" applyProtection="1">
      <alignment wrapText="1"/>
      <protection locked="0"/>
    </xf>
    <xf numFmtId="0" fontId="26" fillId="0" borderId="79" xfId="0" applyFont="1" applyFill="1" applyBorder="1" applyAlignment="1" applyProtection="1">
      <alignment wrapText="1"/>
      <protection locked="0"/>
    </xf>
    <xf numFmtId="3" fontId="21" fillId="0" borderId="74" xfId="0" applyNumberFormat="1" applyFont="1" applyFill="1" applyBorder="1" applyAlignment="1" applyProtection="1">
      <alignment horizontal="center" vertical="center"/>
      <protection locked="0"/>
    </xf>
    <xf numFmtId="0" fontId="26" fillId="0" borderId="74" xfId="0" applyFont="1" applyFill="1" applyBorder="1" applyAlignment="1" applyProtection="1">
      <alignment horizontal="center" vertical="center"/>
      <protection locked="0"/>
    </xf>
    <xf numFmtId="0" fontId="26" fillId="0" borderId="75" xfId="0" applyFont="1" applyFill="1" applyBorder="1" applyAlignment="1" applyProtection="1">
      <alignment horizontal="center" vertical="center"/>
      <protection locked="0"/>
    </xf>
    <xf numFmtId="0" fontId="21" fillId="0" borderId="76" xfId="0" applyFont="1" applyFill="1" applyBorder="1" applyAlignment="1" applyProtection="1">
      <alignment horizontal="center" wrapText="1"/>
      <protection locked="0"/>
    </xf>
    <xf numFmtId="0" fontId="21" fillId="0" borderId="74" xfId="0" applyFont="1" applyFill="1" applyBorder="1" applyAlignment="1" applyProtection="1">
      <alignment horizontal="center" wrapText="1"/>
      <protection locked="0"/>
    </xf>
    <xf numFmtId="0" fontId="21" fillId="0" borderId="75" xfId="0" applyFont="1" applyFill="1" applyBorder="1" applyAlignment="1" applyProtection="1">
      <alignment horizontal="center" wrapText="1"/>
      <protection locked="0"/>
    </xf>
    <xf numFmtId="0" fontId="26" fillId="0" borderId="87" xfId="0" applyFont="1" applyFill="1" applyBorder="1" applyAlignment="1" applyProtection="1">
      <alignment horizontal="center" wrapText="1"/>
      <protection locked="0"/>
    </xf>
    <xf numFmtId="0" fontId="26" fillId="0" borderId="91" xfId="0" applyFont="1" applyFill="1" applyBorder="1" applyAlignment="1" applyProtection="1">
      <alignment horizontal="center" wrapText="1"/>
      <protection locked="0"/>
    </xf>
    <xf numFmtId="0" fontId="0" fillId="0" borderId="58" xfId="0" applyFill="1" applyBorder="1" applyAlignment="1" applyProtection="1">
      <alignment vertical="center" wrapText="1"/>
      <protection locked="0"/>
    </xf>
    <xf numFmtId="0" fontId="0" fillId="0" borderId="44" xfId="0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45" xfId="0" applyFill="1" applyBorder="1" applyAlignment="1" applyProtection="1">
      <alignment vertical="center" wrapText="1"/>
      <protection locked="0"/>
    </xf>
    <xf numFmtId="0" fontId="26" fillId="0" borderId="97" xfId="0" applyFont="1" applyFill="1" applyBorder="1" applyAlignment="1" applyProtection="1">
      <alignment horizontal="center"/>
      <protection locked="0"/>
    </xf>
    <xf numFmtId="0" fontId="26" fillId="0" borderId="69" xfId="0" applyFont="1" applyFill="1" applyBorder="1" applyAlignment="1" applyProtection="1">
      <alignment horizontal="center"/>
      <protection locked="0"/>
    </xf>
    <xf numFmtId="3" fontId="21" fillId="0" borderId="88" xfId="0" applyNumberFormat="1" applyFont="1" applyFill="1" applyBorder="1" applyAlignment="1" applyProtection="1">
      <alignment horizontal="center" vertical="center"/>
      <protection locked="0"/>
    </xf>
    <xf numFmtId="0" fontId="21" fillId="0" borderId="98" xfId="0" applyFont="1" applyFill="1" applyBorder="1" applyAlignment="1" applyProtection="1">
      <protection locked="0"/>
    </xf>
    <xf numFmtId="0" fontId="20" fillId="0" borderId="0" xfId="3" applyFont="1" applyFill="1" applyAlignment="1" applyProtection="1">
      <alignment horizontal="left" vertical="center" indent="1"/>
      <protection locked="0"/>
    </xf>
    <xf numFmtId="0" fontId="20" fillId="0" borderId="0" xfId="3" applyFont="1" applyFill="1" applyAlignment="1" applyProtection="1">
      <alignment horizontal="center" vertical="center"/>
      <protection locked="0"/>
    </xf>
    <xf numFmtId="0" fontId="21" fillId="0" borderId="101" xfId="0" applyFont="1" applyFill="1" applyBorder="1" applyAlignment="1" applyProtection="1">
      <alignment horizontal="left" vertical="center" wrapText="1" indent="1"/>
      <protection locked="0"/>
    </xf>
    <xf numFmtId="0" fontId="21" fillId="0" borderId="60" xfId="0" applyFont="1" applyFill="1" applyBorder="1" applyAlignment="1" applyProtection="1">
      <alignment horizontal="left" vertical="center" wrapText="1" indent="1"/>
      <protection locked="0"/>
    </xf>
    <xf numFmtId="0" fontId="21" fillId="0" borderId="100" xfId="0" applyFont="1" applyFill="1" applyBorder="1" applyAlignment="1" applyProtection="1">
      <alignment horizontal="left" vertical="center" wrapText="1" indent="1"/>
      <protection locked="0"/>
    </xf>
    <xf numFmtId="3" fontId="28" fillId="0" borderId="72" xfId="0" applyNumberFormat="1" applyFont="1" applyFill="1" applyBorder="1" applyAlignment="1" applyProtection="1">
      <alignment horizontal="center" vertical="center"/>
      <protection locked="0"/>
    </xf>
    <xf numFmtId="3" fontId="28" fillId="0" borderId="0" xfId="0" applyNumberFormat="1" applyFont="1" applyFill="1" applyAlignment="1" applyProtection="1">
      <alignment horizontal="center" vertical="center"/>
      <protection locked="0"/>
    </xf>
    <xf numFmtId="3" fontId="28" fillId="0" borderId="79" xfId="0" applyNumberFormat="1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vertical="center" wrapText="1"/>
      <protection locked="0"/>
    </xf>
    <xf numFmtId="0" fontId="25" fillId="0" borderId="29" xfId="0" applyFont="1" applyFill="1" applyBorder="1" applyAlignment="1" applyProtection="1">
      <alignment vertical="center" wrapText="1"/>
      <protection locked="0"/>
    </xf>
    <xf numFmtId="0" fontId="25" fillId="0" borderId="9" xfId="0" applyFont="1" applyFill="1" applyBorder="1" applyAlignment="1" applyProtection="1">
      <alignment vertical="center" wrapText="1"/>
      <protection locked="0"/>
    </xf>
    <xf numFmtId="0" fontId="25" fillId="0" borderId="7" xfId="0" applyFont="1" applyFill="1" applyBorder="1" applyAlignment="1" applyProtection="1">
      <alignment vertical="center" wrapText="1"/>
      <protection locked="0"/>
    </xf>
    <xf numFmtId="0" fontId="0" fillId="0" borderId="55" xfId="0" applyFill="1" applyBorder="1" applyAlignment="1" applyProtection="1">
      <alignment vertical="center" wrapText="1"/>
      <protection locked="0"/>
    </xf>
    <xf numFmtId="0" fontId="0" fillId="0" borderId="51" xfId="0" applyFill="1" applyBorder="1" applyAlignment="1" applyProtection="1">
      <alignment vertical="center" wrapText="1"/>
      <protection locked="0"/>
    </xf>
    <xf numFmtId="0" fontId="0" fillId="0" borderId="42" xfId="0" applyFill="1" applyBorder="1" applyAlignment="1" applyProtection="1">
      <alignment vertical="center" wrapText="1"/>
      <protection locked="0"/>
    </xf>
    <xf numFmtId="0" fontId="21" fillId="0" borderId="58" xfId="0" applyFont="1" applyFill="1" applyBorder="1" applyAlignment="1" applyProtection="1">
      <alignment horizontal="center" vertical="center" wrapText="1"/>
      <protection locked="0"/>
    </xf>
    <xf numFmtId="0" fontId="21" fillId="0" borderId="44" xfId="0" applyFont="1" applyFill="1" applyBorder="1" applyAlignment="1" applyProtection="1">
      <alignment horizontal="center" vertical="center" wrapText="1"/>
      <protection locked="0"/>
    </xf>
    <xf numFmtId="0" fontId="21" fillId="0" borderId="51" xfId="0" applyFont="1" applyFill="1" applyBorder="1" applyAlignment="1" applyProtection="1">
      <alignment horizontal="center" vertical="center" wrapText="1"/>
      <protection locked="0"/>
    </xf>
    <xf numFmtId="0" fontId="21" fillId="0" borderId="42" xfId="0" applyFont="1" applyFill="1" applyBorder="1" applyAlignment="1" applyProtection="1">
      <alignment horizontal="center" vertical="center" wrapText="1"/>
      <protection locked="0"/>
    </xf>
    <xf numFmtId="0" fontId="21" fillId="0" borderId="72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1" fillId="0" borderId="73" xfId="0" applyFont="1" applyFill="1" applyBorder="1" applyAlignment="1" applyProtection="1">
      <alignment horizontal="center" vertical="center" wrapText="1"/>
      <protection locked="0"/>
    </xf>
    <xf numFmtId="0" fontId="21" fillId="0" borderId="83" xfId="0" applyFont="1" applyFill="1" applyBorder="1" applyAlignment="1" applyProtection="1">
      <alignment horizontal="center" vertical="center" wrapText="1"/>
      <protection locked="0"/>
    </xf>
    <xf numFmtId="0" fontId="20" fillId="0" borderId="70" xfId="0" applyFont="1" applyFill="1" applyBorder="1" applyAlignment="1" applyProtection="1">
      <alignment horizontal="left" vertical="center" indent="1"/>
      <protection locked="0"/>
    </xf>
    <xf numFmtId="0" fontId="20" fillId="0" borderId="86" xfId="0" applyFont="1" applyFill="1" applyBorder="1" applyAlignment="1" applyProtection="1">
      <alignment horizontal="left" vertical="center" indent="1"/>
      <protection locked="0"/>
    </xf>
    <xf numFmtId="0" fontId="20" fillId="0" borderId="72" xfId="0" applyFont="1" applyFill="1" applyBorder="1" applyAlignment="1" applyProtection="1">
      <alignment horizontal="left" vertical="center" indent="1"/>
      <protection locked="0"/>
    </xf>
    <xf numFmtId="0" fontId="20" fillId="0" borderId="79" xfId="0" applyFont="1" applyFill="1" applyBorder="1" applyAlignment="1" applyProtection="1">
      <alignment horizontal="left" vertical="center" indent="1"/>
      <protection locked="0"/>
    </xf>
    <xf numFmtId="0" fontId="13" fillId="0" borderId="72" xfId="0" applyFont="1" applyFill="1" applyBorder="1" applyAlignment="1" applyProtection="1">
      <alignment horizontal="left" vertical="center" indent="1"/>
      <protection locked="0"/>
    </xf>
    <xf numFmtId="0" fontId="13" fillId="0" borderId="79" xfId="0" applyFont="1" applyFill="1" applyBorder="1" applyAlignment="1" applyProtection="1">
      <alignment horizontal="left" vertical="center" indent="1"/>
      <protection locked="0"/>
    </xf>
    <xf numFmtId="0" fontId="13" fillId="0" borderId="73" xfId="0" applyFont="1" applyFill="1" applyBorder="1" applyAlignment="1" applyProtection="1">
      <alignment horizontal="left" vertical="center" indent="1"/>
      <protection locked="0"/>
    </xf>
    <xf numFmtId="0" fontId="13" fillId="0" borderId="99" xfId="0" applyFont="1" applyFill="1" applyBorder="1" applyAlignment="1" applyProtection="1">
      <alignment horizontal="left" vertical="center" indent="1"/>
      <protection locked="0"/>
    </xf>
    <xf numFmtId="0" fontId="25" fillId="0" borderId="39" xfId="0" applyFont="1" applyFill="1" applyBorder="1" applyAlignment="1" applyProtection="1">
      <alignment horizontal="center" vertical="center" wrapText="1"/>
      <protection hidden="1"/>
    </xf>
    <xf numFmtId="0" fontId="25" fillId="0" borderId="30" xfId="0" applyFont="1" applyFill="1" applyBorder="1" applyAlignment="1" applyProtection="1">
      <alignment horizontal="center" vertical="center" wrapText="1"/>
      <protection hidden="1"/>
    </xf>
    <xf numFmtId="0" fontId="25" fillId="0" borderId="34" xfId="0" applyFont="1" applyFill="1" applyBorder="1" applyAlignment="1" applyProtection="1">
      <alignment horizontal="center" vertical="center" wrapText="1"/>
      <protection hidden="1"/>
    </xf>
    <xf numFmtId="0" fontId="21" fillId="0" borderId="3" xfId="0" applyFont="1" applyFill="1" applyBorder="1" applyAlignment="1" applyProtection="1">
      <alignment horizontal="left" vertical="center" wrapText="1" indent="2"/>
      <protection hidden="1"/>
    </xf>
    <xf numFmtId="0" fontId="0" fillId="0" borderId="7" xfId="0" applyFill="1" applyBorder="1" applyAlignment="1" applyProtection="1">
      <alignment horizontal="left" vertical="center" wrapText="1" indent="2"/>
      <protection hidden="1"/>
    </xf>
    <xf numFmtId="0" fontId="21" fillId="0" borderId="39" xfId="2" applyFont="1" applyFill="1" applyBorder="1" applyAlignment="1" applyProtection="1">
      <alignment horizontal="left" vertical="center" wrapText="1" indent="2"/>
      <protection hidden="1"/>
    </xf>
    <xf numFmtId="0" fontId="12" fillId="0" borderId="30" xfId="0" applyFont="1" applyFill="1" applyBorder="1" applyAlignment="1" applyProtection="1">
      <alignment horizontal="left" vertical="center" wrapText="1" indent="2"/>
      <protection hidden="1"/>
    </xf>
    <xf numFmtId="0" fontId="12" fillId="0" borderId="34" xfId="0" applyFont="1" applyFill="1" applyBorder="1" applyAlignment="1" applyProtection="1">
      <alignment horizontal="left" vertical="center" wrapText="1" indent="2"/>
      <protection hidden="1"/>
    </xf>
    <xf numFmtId="0" fontId="21" fillId="0" borderId="3" xfId="0" applyFont="1" applyFill="1" applyBorder="1" applyAlignment="1" applyProtection="1">
      <alignment vertical="center" wrapText="1"/>
      <protection hidden="1"/>
    </xf>
    <xf numFmtId="0" fontId="25" fillId="0" borderId="29" xfId="0" applyFont="1" applyFill="1" applyBorder="1" applyAlignment="1" applyProtection="1">
      <alignment vertical="center" wrapText="1"/>
      <protection hidden="1"/>
    </xf>
    <xf numFmtId="0" fontId="25" fillId="0" borderId="7" xfId="0" applyFont="1" applyFill="1" applyBorder="1" applyAlignment="1" applyProtection="1">
      <alignment vertical="center" wrapText="1"/>
      <protection hidden="1"/>
    </xf>
    <xf numFmtId="0" fontId="21" fillId="0" borderId="39" xfId="2" applyFont="1" applyFill="1" applyBorder="1" applyAlignment="1" applyProtection="1">
      <alignment vertical="center" wrapText="1"/>
      <protection hidden="1"/>
    </xf>
    <xf numFmtId="0" fontId="12" fillId="0" borderId="30" xfId="0" applyFont="1" applyFill="1" applyBorder="1" applyAlignment="1" applyProtection="1">
      <alignment vertical="center" wrapText="1"/>
      <protection hidden="1"/>
    </xf>
    <xf numFmtId="0" fontId="26" fillId="0" borderId="39" xfId="2" applyFont="1" applyFill="1" applyBorder="1" applyAlignment="1" applyProtection="1">
      <alignment horizontal="left" vertical="center" wrapText="1" indent="2"/>
      <protection hidden="1"/>
    </xf>
    <xf numFmtId="0" fontId="12" fillId="0" borderId="28" xfId="0" applyFont="1" applyFill="1" applyBorder="1" applyAlignment="1" applyProtection="1">
      <alignment horizontal="left" vertical="center" wrapText="1" indent="2"/>
      <protection hidden="1"/>
    </xf>
    <xf numFmtId="0" fontId="26" fillId="0" borderId="9" xfId="2" applyFont="1" applyFill="1" applyBorder="1" applyAlignment="1" applyProtection="1">
      <alignment horizontal="left" vertical="center" wrapText="1" indent="2"/>
      <protection hidden="1"/>
    </xf>
    <xf numFmtId="0" fontId="21" fillId="0" borderId="30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Fill="1" applyBorder="1" applyAlignment="1" applyProtection="1">
      <alignment horizontal="center" vertical="center" wrapText="1"/>
      <protection hidden="1"/>
    </xf>
    <xf numFmtId="0" fontId="21" fillId="0" borderId="30" xfId="2" applyFont="1" applyFill="1" applyBorder="1" applyAlignment="1" applyProtection="1">
      <alignment horizontal="left" vertical="center" wrapText="1" indent="2"/>
      <protection hidden="1"/>
    </xf>
    <xf numFmtId="0" fontId="39" fillId="0" borderId="30" xfId="0" applyFont="1" applyFill="1" applyBorder="1" applyAlignment="1" applyProtection="1">
      <alignment horizontal="left" vertical="center" wrapText="1" indent="2"/>
      <protection hidden="1"/>
    </xf>
    <xf numFmtId="0" fontId="39" fillId="0" borderId="34" xfId="0" applyFont="1" applyFill="1" applyBorder="1" applyAlignment="1" applyProtection="1">
      <alignment horizontal="left" vertical="center" wrapText="1" indent="2"/>
      <protection hidden="1"/>
    </xf>
    <xf numFmtId="0" fontId="26" fillId="0" borderId="30" xfId="2" applyFont="1" applyFill="1" applyBorder="1" applyAlignment="1" applyProtection="1">
      <alignment horizontal="left" vertical="center" wrapText="1" indent="2"/>
      <protection hidden="1"/>
    </xf>
    <xf numFmtId="0" fontId="39" fillId="0" borderId="28" xfId="0" applyFont="1" applyFill="1" applyBorder="1" applyAlignment="1" applyProtection="1">
      <alignment horizontal="left" vertical="center" wrapText="1" indent="2"/>
      <protection hidden="1"/>
    </xf>
    <xf numFmtId="0" fontId="21" fillId="0" borderId="39" xfId="0" applyFont="1" applyFill="1" applyBorder="1" applyAlignment="1" applyProtection="1">
      <alignment horizontal="center" vertical="center" wrapText="1"/>
      <protection hidden="1"/>
    </xf>
    <xf numFmtId="0" fontId="21" fillId="0" borderId="4" xfId="2" applyFont="1" applyFill="1" applyBorder="1" applyAlignment="1" applyProtection="1">
      <alignment horizontal="center" vertical="center" wrapText="1"/>
      <protection hidden="1"/>
    </xf>
    <xf numFmtId="0" fontId="39" fillId="0" borderId="59" xfId="0" applyFont="1" applyFill="1" applyBorder="1" applyAlignment="1" applyProtection="1">
      <alignment vertical="center" wrapText="1"/>
      <protection hidden="1"/>
    </xf>
    <xf numFmtId="0" fontId="39" fillId="0" borderId="32" xfId="0" applyFont="1" applyFill="1" applyBorder="1" applyAlignment="1" applyProtection="1">
      <alignment vertical="center" wrapText="1"/>
      <protection hidden="1"/>
    </xf>
    <xf numFmtId="0" fontId="39" fillId="0" borderId="59" xfId="0" applyFont="1" applyFill="1" applyBorder="1" applyAlignment="1" applyProtection="1">
      <alignment horizontal="center" vertical="center" wrapText="1"/>
      <protection hidden="1"/>
    </xf>
    <xf numFmtId="0" fontId="39" fillId="0" borderId="32" xfId="0" applyFont="1" applyFill="1" applyBorder="1" applyAlignment="1" applyProtection="1">
      <alignment horizontal="center" vertical="center" wrapText="1"/>
      <protection hidden="1"/>
    </xf>
    <xf numFmtId="0" fontId="39" fillId="0" borderId="30" xfId="0" applyFont="1" applyFill="1" applyBorder="1" applyAlignment="1" applyProtection="1">
      <alignment vertical="center" wrapText="1"/>
      <protection hidden="1"/>
    </xf>
    <xf numFmtId="0" fontId="39" fillId="0" borderId="34" xfId="0" applyFont="1" applyFill="1" applyBorder="1" applyAlignment="1" applyProtection="1">
      <alignment vertical="center" wrapText="1"/>
      <protection hidden="1"/>
    </xf>
    <xf numFmtId="0" fontId="21" fillId="0" borderId="39" xfId="2" applyFont="1" applyFill="1" applyBorder="1" applyAlignment="1" applyProtection="1">
      <alignment horizontal="center" vertical="center" wrapText="1"/>
      <protection hidden="1"/>
    </xf>
    <xf numFmtId="0" fontId="39" fillId="0" borderId="30" xfId="0" applyFont="1" applyFill="1" applyBorder="1" applyAlignment="1" applyProtection="1">
      <alignment horizontal="center" vertical="center" wrapText="1"/>
      <protection hidden="1"/>
    </xf>
    <xf numFmtId="0" fontId="39" fillId="0" borderId="34" xfId="0" applyFont="1" applyFill="1" applyBorder="1" applyAlignment="1" applyProtection="1">
      <alignment horizontal="center" vertical="center" wrapText="1"/>
      <protection hidden="1"/>
    </xf>
    <xf numFmtId="0" fontId="1" fillId="0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Fill="1" applyBorder="1" applyAlignment="1" applyProtection="1">
      <alignment horizontal="center" vertical="center" wrapText="1"/>
      <protection hidden="1"/>
    </xf>
    <xf numFmtId="0" fontId="0" fillId="0" borderId="58" xfId="0" applyFill="1" applyBorder="1" applyAlignment="1" applyProtection="1">
      <alignment horizontal="center" vertical="center" wrapText="1"/>
      <protection hidden="1"/>
    </xf>
    <xf numFmtId="0" fontId="0" fillId="0" borderId="44" xfId="0" applyFill="1" applyBorder="1" applyAlignment="1" applyProtection="1">
      <alignment horizontal="center" vertical="center" wrapText="1"/>
      <protection hidden="1"/>
    </xf>
    <xf numFmtId="0" fontId="21" fillId="0" borderId="8" xfId="2" applyFont="1" applyFill="1" applyBorder="1" applyAlignment="1" applyProtection="1">
      <alignment horizontal="center" vertical="center" wrapText="1"/>
      <protection hidden="1"/>
    </xf>
    <xf numFmtId="0" fontId="39" fillId="0" borderId="61" xfId="0" applyFont="1" applyFill="1" applyBorder="1" applyAlignment="1" applyProtection="1">
      <alignment vertical="center" wrapText="1"/>
      <protection hidden="1"/>
    </xf>
    <xf numFmtId="0" fontId="39" fillId="0" borderId="63" xfId="0" applyFont="1" applyFill="1" applyBorder="1" applyAlignment="1" applyProtection="1">
      <alignment vertical="center" wrapText="1"/>
      <protection hidden="1"/>
    </xf>
    <xf numFmtId="0" fontId="39" fillId="0" borderId="61" xfId="0" applyFont="1" applyFill="1" applyBorder="1" applyAlignment="1" applyProtection="1">
      <alignment horizontal="center" vertical="center" wrapText="1"/>
      <protection hidden="1"/>
    </xf>
    <xf numFmtId="0" fontId="39" fillId="0" borderId="63" xfId="0" applyFont="1" applyFill="1" applyBorder="1" applyAlignment="1" applyProtection="1">
      <alignment horizontal="center" vertical="center" wrapText="1"/>
      <protection hidden="1"/>
    </xf>
    <xf numFmtId="0" fontId="21" fillId="0" borderId="58" xfId="0" applyFont="1" applyFill="1" applyBorder="1" applyAlignment="1" applyProtection="1">
      <alignment vertical="center" wrapText="1"/>
      <protection hidden="1"/>
    </xf>
    <xf numFmtId="0" fontId="21" fillId="0" borderId="44" xfId="0" applyFont="1" applyFill="1" applyBorder="1" applyAlignment="1" applyProtection="1">
      <alignment vertical="center" wrapText="1"/>
      <protection hidden="1"/>
    </xf>
    <xf numFmtId="0" fontId="1" fillId="0" borderId="50" xfId="0" applyFont="1" applyFill="1" applyBorder="1" applyAlignment="1" applyProtection="1">
      <alignment vertical="center" wrapText="1"/>
      <protection hidden="1"/>
    </xf>
    <xf numFmtId="0" fontId="1" fillId="0" borderId="43" xfId="0" applyFont="1" applyFill="1" applyBorder="1" applyAlignment="1" applyProtection="1">
      <alignment vertical="center" wrapText="1"/>
      <protection hidden="1"/>
    </xf>
    <xf numFmtId="0" fontId="1" fillId="0" borderId="58" xfId="0" applyFont="1" applyFill="1" applyBorder="1" applyAlignment="1" applyProtection="1">
      <alignment vertical="center" wrapText="1"/>
      <protection hidden="1"/>
    </xf>
    <xf numFmtId="0" fontId="1" fillId="0" borderId="44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Alignment="1" applyProtection="1">
      <alignment vertical="center" wrapText="1"/>
      <protection hidden="1"/>
    </xf>
    <xf numFmtId="0" fontId="1" fillId="0" borderId="45" xfId="0" applyFont="1" applyFill="1" applyBorder="1" applyAlignment="1" applyProtection="1">
      <alignment vertical="center" wrapText="1"/>
      <protection hidden="1"/>
    </xf>
    <xf numFmtId="0" fontId="25" fillId="0" borderId="7" xfId="0" applyFont="1" applyFill="1" applyBorder="1" applyAlignment="1" applyProtection="1">
      <alignment horizontal="left" vertical="center" wrapText="1" indent="2"/>
      <protection hidden="1"/>
    </xf>
    <xf numFmtId="0" fontId="12" fillId="0" borderId="30" xfId="0" applyFont="1" applyFill="1" applyBorder="1" applyAlignment="1" applyProtection="1">
      <alignment horizontal="center" vertical="center" wrapText="1"/>
      <protection hidden="1"/>
    </xf>
    <xf numFmtId="0" fontId="12" fillId="0" borderId="34" xfId="0" applyFont="1" applyFill="1" applyBorder="1" applyAlignment="1" applyProtection="1">
      <alignment horizontal="center" vertical="center" wrapText="1"/>
      <protection hidden="1"/>
    </xf>
    <xf numFmtId="0" fontId="25" fillId="0" borderId="9" xfId="0" applyFont="1" applyFill="1" applyBorder="1" applyAlignment="1" applyProtection="1">
      <alignment horizontal="left" vertical="center" wrapText="1" indent="2"/>
      <protection hidden="1"/>
    </xf>
    <xf numFmtId="0" fontId="26" fillId="0" borderId="14" xfId="0" applyFont="1" applyFill="1" applyBorder="1" applyAlignment="1" applyProtection="1">
      <alignment horizontal="center" vertical="center" wrapText="1"/>
      <protection hidden="1"/>
    </xf>
    <xf numFmtId="0" fontId="31" fillId="0" borderId="14" xfId="0" applyFont="1" applyFill="1" applyBorder="1" applyAlignment="1" applyProtection="1">
      <alignment horizontal="center" vertical="center" wrapText="1"/>
      <protection hidden="1"/>
    </xf>
    <xf numFmtId="0" fontId="31" fillId="0" borderId="5" xfId="0" applyFont="1" applyFill="1" applyBorder="1" applyAlignment="1" applyProtection="1">
      <alignment horizontal="center" vertical="center" wrapText="1"/>
      <protection hidden="1"/>
    </xf>
    <xf numFmtId="0" fontId="26" fillId="0" borderId="17" xfId="0" applyFont="1" applyFill="1" applyBorder="1" applyAlignment="1" applyProtection="1">
      <alignment horizontal="center" vertical="center" wrapText="1"/>
      <protection hidden="1"/>
    </xf>
    <xf numFmtId="0" fontId="0" fillId="0" borderId="17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1" fillId="0" borderId="3" xfId="0" applyFont="1" applyFill="1" applyBorder="1" applyAlignment="1" applyProtection="1">
      <alignment horizontal="center" vertical="center" wrapText="1"/>
      <protection hidden="1"/>
    </xf>
    <xf numFmtId="0" fontId="25" fillId="0" borderId="29" xfId="0" applyFont="1" applyFill="1" applyBorder="1" applyAlignment="1" applyProtection="1">
      <alignment horizontal="center" vertical="center" wrapText="1"/>
      <protection hidden="1"/>
    </xf>
    <xf numFmtId="0" fontId="25" fillId="0" borderId="7" xfId="0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Fill="1" applyAlignment="1" applyProtection="1">
      <alignment horizontal="center" vertical="center" wrapText="1"/>
      <protection hidden="1"/>
    </xf>
    <xf numFmtId="0" fontId="1" fillId="0" borderId="59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left" vertical="center" indent="2"/>
      <protection hidden="1"/>
    </xf>
    <xf numFmtId="0" fontId="1" fillId="0" borderId="64" xfId="0" applyFont="1" applyFill="1" applyBorder="1" applyAlignment="1" applyProtection="1">
      <alignment horizontal="left" vertical="center" indent="2"/>
      <protection hidden="1"/>
    </xf>
    <xf numFmtId="0" fontId="1" fillId="0" borderId="65" xfId="0" applyFont="1" applyFill="1" applyBorder="1" applyAlignment="1" applyProtection="1">
      <alignment horizontal="left" vertical="center" indent="2"/>
      <protection hidden="1"/>
    </xf>
    <xf numFmtId="0" fontId="1" fillId="0" borderId="31" xfId="0" applyFont="1" applyFill="1" applyBorder="1" applyAlignment="1" applyProtection="1">
      <alignment horizontal="left" vertical="center" indent="1"/>
      <protection hidden="1"/>
    </xf>
    <xf numFmtId="0" fontId="1" fillId="0" borderId="60" xfId="0" applyFont="1" applyFill="1" applyBorder="1" applyAlignment="1" applyProtection="1">
      <alignment horizontal="left" vertical="center" indent="1"/>
      <protection hidden="1"/>
    </xf>
    <xf numFmtId="0" fontId="1" fillId="0" borderId="62" xfId="0" applyFont="1" applyFill="1" applyBorder="1" applyAlignment="1" applyProtection="1">
      <alignment horizontal="left" vertical="center" indent="1"/>
      <protection hidden="1"/>
    </xf>
    <xf numFmtId="0" fontId="2" fillId="0" borderId="55" xfId="1" applyFill="1" applyBorder="1" applyAlignment="1" applyProtection="1">
      <alignment horizontal="left" vertical="center" indent="1"/>
      <protection hidden="1"/>
    </xf>
    <xf numFmtId="0" fontId="1" fillId="0" borderId="51" xfId="0" applyFont="1" applyFill="1" applyBorder="1" applyAlignment="1" applyProtection="1">
      <alignment horizontal="left" vertical="center" indent="1"/>
      <protection hidden="1"/>
    </xf>
    <xf numFmtId="0" fontId="1" fillId="0" borderId="42" xfId="0" applyFont="1" applyFill="1" applyBorder="1" applyAlignment="1" applyProtection="1">
      <alignment horizontal="left" vertical="center" indent="1"/>
      <protection hidden="1"/>
    </xf>
    <xf numFmtId="0" fontId="3" fillId="0" borderId="11" xfId="0" applyFont="1" applyFill="1" applyBorder="1" applyAlignment="1" applyProtection="1">
      <alignment horizontal="left" vertical="center" wrapText="1" indent="2"/>
      <protection locked="0"/>
    </xf>
    <xf numFmtId="0" fontId="3" fillId="0" borderId="64" xfId="0" applyFont="1" applyFill="1" applyBorder="1" applyAlignment="1" applyProtection="1">
      <alignment horizontal="left" vertical="center" wrapText="1" indent="2"/>
      <protection locked="0"/>
    </xf>
    <xf numFmtId="0" fontId="3" fillId="0" borderId="65" xfId="0" applyFont="1" applyFill="1" applyBorder="1" applyAlignment="1" applyProtection="1">
      <alignment horizontal="left" vertical="center" wrapText="1" indent="2"/>
      <protection locked="0"/>
    </xf>
    <xf numFmtId="0" fontId="0" fillId="0" borderId="33" xfId="0" applyFill="1" applyBorder="1" applyAlignment="1" applyProtection="1">
      <alignment horizontal="center" vertical="center" wrapText="1"/>
      <protection hidden="1"/>
    </xf>
    <xf numFmtId="0" fontId="12" fillId="0" borderId="61" xfId="0" applyFont="1" applyFill="1" applyBorder="1" applyAlignment="1" applyProtection="1">
      <alignment vertical="center" wrapText="1"/>
      <protection hidden="1"/>
    </xf>
    <xf numFmtId="0" fontId="12" fillId="0" borderId="63" xfId="0" applyFont="1" applyFill="1" applyBorder="1" applyAlignment="1" applyProtection="1">
      <alignment vertical="center" wrapText="1"/>
      <protection hidden="1"/>
    </xf>
    <xf numFmtId="0" fontId="21" fillId="0" borderId="36" xfId="0" applyFont="1" applyFill="1" applyBorder="1" applyAlignment="1" applyProtection="1">
      <alignment horizontal="center" vertical="center" wrapText="1"/>
      <protection hidden="1"/>
    </xf>
    <xf numFmtId="0" fontId="25" fillId="0" borderId="12" xfId="0" applyFont="1" applyFill="1" applyBorder="1" applyAlignment="1" applyProtection="1">
      <alignment horizontal="center" vertical="center" wrapText="1"/>
      <protection hidden="1"/>
    </xf>
    <xf numFmtId="0" fontId="25" fillId="0" borderId="2" xfId="0" applyFont="1" applyFill="1" applyBorder="1" applyAlignment="1" applyProtection="1">
      <alignment horizontal="center" vertical="center" wrapText="1"/>
      <protection hidden="1"/>
    </xf>
    <xf numFmtId="0" fontId="25" fillId="0" borderId="26" xfId="0" applyFont="1" applyFill="1" applyBorder="1" applyAlignment="1" applyProtection="1">
      <alignment horizontal="center" vertical="center" wrapText="1"/>
      <protection hidden="1"/>
    </xf>
    <xf numFmtId="0" fontId="25" fillId="0" borderId="15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Fill="1" applyBorder="1" applyAlignment="1" applyProtection="1">
      <alignment horizontal="center" vertical="center" wrapText="1"/>
      <protection hidden="1"/>
    </xf>
    <xf numFmtId="0" fontId="25" fillId="0" borderId="27" xfId="0" applyFont="1" applyFill="1" applyBorder="1" applyAlignment="1" applyProtection="1">
      <alignment horizontal="center" vertical="center" wrapText="1"/>
      <protection hidden="1"/>
    </xf>
    <xf numFmtId="0" fontId="25" fillId="0" borderId="21" xfId="0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Fill="1" applyBorder="1" applyAlignment="1" applyProtection="1">
      <alignment horizontal="center" vertical="center" wrapText="1"/>
      <protection hidden="1"/>
    </xf>
    <xf numFmtId="0" fontId="12" fillId="0" borderId="59" xfId="0" applyFont="1" applyFill="1" applyBorder="1" applyAlignment="1" applyProtection="1">
      <alignment vertical="center" wrapText="1"/>
      <protection hidden="1"/>
    </xf>
    <xf numFmtId="0" fontId="12" fillId="0" borderId="32" xfId="0" applyFont="1" applyFill="1" applyBorder="1" applyAlignment="1" applyProtection="1">
      <alignment vertical="center" wrapText="1"/>
      <protection hidden="1"/>
    </xf>
    <xf numFmtId="0" fontId="21" fillId="0" borderId="48" xfId="2" applyFont="1" applyFill="1" applyBorder="1" applyAlignment="1" applyProtection="1">
      <alignment horizontal="center" vertical="center" wrapText="1"/>
      <protection hidden="1"/>
    </xf>
    <xf numFmtId="0" fontId="12" fillId="0" borderId="49" xfId="0" applyFont="1" applyFill="1" applyBorder="1" applyAlignment="1" applyProtection="1">
      <alignment horizontal="center" vertical="center" wrapText="1"/>
      <protection hidden="1"/>
    </xf>
    <xf numFmtId="0" fontId="12" fillId="0" borderId="3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1" fillId="0" borderId="55" xfId="0" applyFont="1" applyFill="1" applyBorder="1" applyAlignment="1" applyProtection="1">
      <alignment vertical="center" wrapText="1"/>
      <protection hidden="1"/>
    </xf>
    <xf numFmtId="0" fontId="1" fillId="0" borderId="51" xfId="0" applyFont="1" applyFill="1" applyBorder="1" applyAlignment="1" applyProtection="1">
      <alignment vertical="center" wrapText="1"/>
      <protection hidden="1"/>
    </xf>
    <xf numFmtId="0" fontId="1" fillId="0" borderId="42" xfId="0" applyFont="1" applyFill="1" applyBorder="1" applyAlignment="1" applyProtection="1">
      <alignment vertical="center" wrapText="1"/>
      <protection hidden="1"/>
    </xf>
    <xf numFmtId="0" fontId="1" fillId="0" borderId="40" xfId="0" applyFont="1" applyFill="1" applyBorder="1" applyAlignment="1" applyProtection="1">
      <alignment horizontal="center" vertical="center" wrapText="1"/>
      <protection hidden="1"/>
    </xf>
    <xf numFmtId="0" fontId="8" fillId="0" borderId="41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 wrapText="1"/>
      <protection hidden="1"/>
    </xf>
    <xf numFmtId="0" fontId="31" fillId="0" borderId="29" xfId="0" applyFont="1" applyFill="1" applyBorder="1" applyAlignment="1" applyProtection="1">
      <alignment horizontal="center" vertical="center" wrapText="1"/>
      <protection hidden="1"/>
    </xf>
    <xf numFmtId="0" fontId="31" fillId="0" borderId="7" xfId="0" applyFont="1" applyFill="1" applyBorder="1" applyAlignment="1" applyProtection="1">
      <alignment horizontal="center" vertical="center" wrapText="1"/>
      <protection hidden="1"/>
    </xf>
    <xf numFmtId="0" fontId="31" fillId="0" borderId="9" xfId="0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Fill="1" applyBorder="1" applyAlignment="1" applyProtection="1">
      <alignment horizontal="center" vertical="center" wrapText="1"/>
      <protection hidden="1"/>
    </xf>
    <xf numFmtId="0" fontId="25" fillId="0" borderId="32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Fill="1" applyAlignment="1" applyProtection="1">
      <alignment horizontal="left"/>
      <protection hidden="1"/>
    </xf>
    <xf numFmtId="0" fontId="21" fillId="0" borderId="20" xfId="0" applyFont="1" applyFill="1" applyBorder="1" applyAlignment="1" applyProtection="1">
      <alignment horizontal="center" vertical="center" wrapText="1"/>
      <protection hidden="1"/>
    </xf>
    <xf numFmtId="0" fontId="25" fillId="0" borderId="67" xfId="0" applyFont="1" applyFill="1" applyBorder="1" applyAlignment="1" applyProtection="1">
      <alignment horizontal="center" vertical="center" wrapText="1"/>
      <protection hidden="1"/>
    </xf>
    <xf numFmtId="0" fontId="21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81" xfId="0" applyFont="1" applyFill="1" applyBorder="1" applyAlignment="1" applyProtection="1">
      <alignment horizontal="center" vertical="center" wrapText="1"/>
      <protection hidden="1"/>
    </xf>
    <xf numFmtId="0" fontId="12" fillId="0" borderId="34" xfId="0" applyFont="1" applyFill="1" applyBorder="1" applyAlignment="1" applyProtection="1">
      <alignment vertical="center" wrapText="1"/>
      <protection hidden="1"/>
    </xf>
    <xf numFmtId="0" fontId="12" fillId="0" borderId="49" xfId="0" applyFont="1" applyFill="1" applyBorder="1" applyAlignment="1" applyProtection="1">
      <alignment vertical="center" wrapText="1"/>
      <protection hidden="1"/>
    </xf>
    <xf numFmtId="0" fontId="12" fillId="0" borderId="33" xfId="0" applyFont="1" applyFill="1" applyBorder="1" applyAlignment="1" applyProtection="1">
      <alignment vertical="center" wrapText="1"/>
      <protection hidden="1"/>
    </xf>
    <xf numFmtId="0" fontId="12" fillId="0" borderId="30" xfId="0" applyFont="1" applyFill="1" applyBorder="1" applyAlignment="1" applyProtection="1">
      <alignment horizontal="center" vertical="center"/>
      <protection hidden="1"/>
    </xf>
    <xf numFmtId="0" fontId="12" fillId="0" borderId="34" xfId="0" applyFont="1" applyFill="1" applyBorder="1" applyAlignment="1" applyProtection="1">
      <alignment horizontal="center" vertical="center"/>
      <protection hidden="1"/>
    </xf>
    <xf numFmtId="0" fontId="21" fillId="0" borderId="39" xfId="0" applyFont="1" applyFill="1" applyBorder="1" applyAlignment="1" applyProtection="1">
      <alignment horizontal="left" vertical="top" wrapText="1"/>
      <protection hidden="1"/>
    </xf>
    <xf numFmtId="0" fontId="21" fillId="0" borderId="30" xfId="0" applyFont="1" applyFill="1" applyBorder="1" applyAlignment="1" applyProtection="1">
      <alignment horizontal="left" vertical="top" wrapText="1"/>
      <protection hidden="1"/>
    </xf>
    <xf numFmtId="0" fontId="21" fillId="0" borderId="34" xfId="0" applyFont="1" applyFill="1" applyBorder="1" applyAlignment="1" applyProtection="1">
      <alignment horizontal="left" vertical="top" wrapText="1"/>
      <protection hidden="1"/>
    </xf>
    <xf numFmtId="0" fontId="21" fillId="0" borderId="44" xfId="0" applyFont="1" applyFill="1" applyBorder="1" applyAlignment="1" applyProtection="1">
      <alignment horizontal="center" vertical="center" wrapText="1"/>
      <protection hidden="1"/>
    </xf>
    <xf numFmtId="0" fontId="21" fillId="0" borderId="45" xfId="0" applyFont="1" applyFill="1" applyBorder="1" applyAlignment="1" applyProtection="1">
      <alignment horizontal="center" vertical="center" wrapText="1"/>
      <protection hidden="1"/>
    </xf>
    <xf numFmtId="0" fontId="21" fillId="0" borderId="42" xfId="0" applyFont="1" applyFill="1" applyBorder="1" applyAlignment="1" applyProtection="1">
      <alignment horizontal="center" vertical="center" wrapText="1"/>
      <protection hidden="1"/>
    </xf>
    <xf numFmtId="0" fontId="21" fillId="0" borderId="48" xfId="0" applyFont="1" applyFill="1" applyBorder="1" applyAlignment="1" applyProtection="1">
      <alignment horizontal="center" vertical="center" wrapText="1"/>
      <protection hidden="1"/>
    </xf>
    <xf numFmtId="0" fontId="21" fillId="0" borderId="49" xfId="0" applyFont="1" applyFill="1" applyBorder="1" applyAlignment="1" applyProtection="1">
      <alignment horizontal="center" vertical="center" wrapText="1"/>
      <protection hidden="1"/>
    </xf>
    <xf numFmtId="0" fontId="21" fillId="0" borderId="33" xfId="0" applyFont="1" applyFill="1" applyBorder="1" applyAlignment="1" applyProtection="1">
      <alignment horizontal="center" vertical="center" wrapText="1"/>
      <protection hidden="1"/>
    </xf>
    <xf numFmtId="0" fontId="3" fillId="0" borderId="39" xfId="0" applyFont="1" applyFill="1" applyBorder="1" applyAlignment="1" applyProtection="1">
      <alignment horizontal="center" vertical="center" wrapText="1"/>
      <protection hidden="1"/>
    </xf>
    <xf numFmtId="0" fontId="3" fillId="0" borderId="34" xfId="0" applyFont="1" applyFill="1" applyBorder="1" applyAlignment="1" applyProtection="1">
      <alignment horizontal="center" vertical="center" wrapText="1"/>
      <protection hidden="1"/>
    </xf>
    <xf numFmtId="0" fontId="3" fillId="0" borderId="30" xfId="0" applyFont="1" applyFill="1" applyBorder="1" applyAlignment="1" applyProtection="1">
      <alignment horizontal="center" vertical="center" wrapText="1"/>
      <protection hidden="1"/>
    </xf>
    <xf numFmtId="0" fontId="0" fillId="0" borderId="30" xfId="0" applyFill="1" applyBorder="1" applyAlignment="1" applyProtection="1">
      <alignment horizontal="center" vertical="center" wrapText="1"/>
      <protection hidden="1"/>
    </xf>
    <xf numFmtId="0" fontId="0" fillId="0" borderId="34" xfId="0" applyFill="1" applyBorder="1" applyAlignment="1" applyProtection="1">
      <alignment horizontal="center" vertical="center" wrapText="1"/>
      <protection hidden="1"/>
    </xf>
    <xf numFmtId="0" fontId="26" fillId="0" borderId="48" xfId="2" applyFont="1" applyFill="1" applyBorder="1" applyAlignment="1" applyProtection="1">
      <alignment horizontal="center" vertical="center"/>
      <protection hidden="1"/>
    </xf>
    <xf numFmtId="0" fontId="26" fillId="0" borderId="33" xfId="2" applyFont="1" applyFill="1" applyBorder="1" applyAlignment="1" applyProtection="1">
      <alignment horizontal="center" vertical="center"/>
      <protection hidden="1"/>
    </xf>
    <xf numFmtId="0" fontId="8" fillId="0" borderId="30" xfId="0" applyFont="1" applyFill="1" applyBorder="1" applyAlignment="1" applyProtection="1">
      <alignment vertical="center" wrapText="1"/>
      <protection hidden="1"/>
    </xf>
    <xf numFmtId="0" fontId="8" fillId="0" borderId="34" xfId="0" applyFont="1" applyFill="1" applyBorder="1" applyAlignment="1" applyProtection="1">
      <alignment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8" fillId="0" borderId="7" xfId="0" applyFont="1" applyFill="1" applyBorder="1" applyAlignment="1" applyProtection="1">
      <alignment vertical="center" wrapText="1"/>
      <protection hidden="1"/>
    </xf>
    <xf numFmtId="0" fontId="3" fillId="0" borderId="43" xfId="0" applyFont="1" applyFill="1" applyBorder="1" applyAlignment="1" applyProtection="1">
      <alignment horizontal="center" vertical="center" wrapText="1"/>
      <protection hidden="1"/>
    </xf>
    <xf numFmtId="0" fontId="8" fillId="0" borderId="43" xfId="0" applyFont="1" applyFill="1" applyBorder="1" applyAlignment="1" applyProtection="1">
      <alignment horizontal="center" vertical="center" wrapText="1"/>
      <protection hidden="1"/>
    </xf>
    <xf numFmtId="0" fontId="8" fillId="0" borderId="34" xfId="0" applyFont="1" applyFill="1" applyBorder="1" applyAlignment="1" applyProtection="1">
      <alignment horizontal="center" vertical="center" wrapText="1"/>
      <protection hidden="1"/>
    </xf>
    <xf numFmtId="0" fontId="3" fillId="0" borderId="50" xfId="0" applyFont="1" applyFill="1" applyBorder="1" applyAlignment="1" applyProtection="1">
      <alignment horizontal="center" vertical="center" wrapText="1"/>
      <protection hidden="1"/>
    </xf>
    <xf numFmtId="0" fontId="8" fillId="0" borderId="55" xfId="0" applyFont="1" applyFill="1" applyBorder="1" applyAlignment="1" applyProtection="1">
      <alignment horizontal="center" vertical="center" wrapText="1"/>
      <protection hidden="1"/>
    </xf>
    <xf numFmtId="0" fontId="7" fillId="0" borderId="29" xfId="0" applyFont="1" applyFill="1" applyBorder="1" applyAlignment="1" applyProtection="1">
      <alignment horizontal="center" vertical="center" wrapText="1"/>
      <protection hidden="1"/>
    </xf>
    <xf numFmtId="0" fontId="7" fillId="0" borderId="31" xfId="0" applyFont="1" applyFill="1" applyBorder="1" applyAlignment="1" applyProtection="1">
      <alignment horizontal="center" vertical="center" wrapText="1"/>
      <protection hidden="1"/>
    </xf>
    <xf numFmtId="0" fontId="7" fillId="0" borderId="57" xfId="0" applyFont="1" applyFill="1" applyBorder="1" applyAlignment="1" applyProtection="1">
      <alignment horizontal="center" vertical="center" wrapText="1"/>
      <protection hidden="1"/>
    </xf>
    <xf numFmtId="0" fontId="0" fillId="0" borderId="55" xfId="0" applyFill="1" applyBorder="1" applyAlignment="1" applyProtection="1">
      <alignment horizontal="center" vertical="center" wrapText="1"/>
      <protection hidden="1"/>
    </xf>
    <xf numFmtId="0" fontId="21" fillId="0" borderId="0" xfId="2" applyFont="1" applyFill="1" applyAlignment="1" applyProtection="1">
      <alignment horizontal="center" vertical="center"/>
      <protection hidden="1"/>
    </xf>
  </cellXfs>
  <cellStyles count="6">
    <cellStyle name="Hyperlink" xfId="1" builtinId="8"/>
    <cellStyle name="Hyperlink 2" xfId="4" xr:uid="{00000000-0005-0000-0000-000001000000}"/>
    <cellStyle name="Normal" xfId="0" builtinId="0"/>
    <cellStyle name="Normal 2" xfId="5" xr:uid="{00000000-0005-0000-0000-000003000000}"/>
    <cellStyle name="Normal 3" xfId="3" xr:uid="{00000000-0005-0000-0000-000004000000}"/>
    <cellStyle name="Normal_Sheet1" xfId="2" xr:uid="{00000000-0005-0000-0000-000005000000}"/>
  </cellStyles>
  <dxfs count="9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16" fmlaLink="$A$1" fmlaRange="Colleges!$A$1:$A$28" noThreeD="1" sel="1" val="0"/>
</file>

<file path=xl/ctrlProps/ctrlProp2.xml><?xml version="1.0" encoding="utf-8"?>
<formControlPr xmlns="http://schemas.microsoft.com/office/spreadsheetml/2009/9/main" objectType="Drop" dropStyle="combo" dx="16" fmlaLink="$A$1" fmlaRange="Colleges!$A$1:$A$28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</xdr:row>
          <xdr:rowOff>7620</xdr:rowOff>
        </xdr:from>
        <xdr:to>
          <xdr:col>6</xdr:col>
          <xdr:colOff>716280</xdr:colOff>
          <xdr:row>2</xdr:row>
          <xdr:rowOff>0</xdr:rowOff>
        </xdr:to>
        <xdr:sp macro="" textlink="">
          <xdr:nvSpPr>
            <xdr:cNvPr id="6145" name="Drop Down 1" descr="Please select College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7620</xdr:rowOff>
        </xdr:from>
        <xdr:to>
          <xdr:col>6</xdr:col>
          <xdr:colOff>731520</xdr:colOff>
          <xdr:row>1</xdr:row>
          <xdr:rowOff>198120</xdr:rowOff>
        </xdr:to>
        <xdr:sp macro="" textlink="">
          <xdr:nvSpPr>
            <xdr:cNvPr id="5122" name="Drop Down 2" descr="Please select College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zoomScaleNormal="100" workbookViewId="0">
      <selection activeCell="A22" sqref="A22:XFD45"/>
    </sheetView>
  </sheetViews>
  <sheetFormatPr defaultColWidth="9.21875" defaultRowHeight="14.4" x14ac:dyDescent="0.3"/>
  <cols>
    <col min="1" max="1" width="22.44140625" style="240" customWidth="1"/>
    <col min="2" max="2" width="18.5546875" style="240" customWidth="1"/>
    <col min="3" max="3" width="28.21875" style="240" customWidth="1"/>
    <col min="4" max="4" width="13.5546875" style="240" customWidth="1"/>
    <col min="5" max="7" width="18.5546875" style="240" customWidth="1"/>
    <col min="8" max="8" width="15.5546875" style="240" customWidth="1"/>
    <col min="9" max="10" width="10.5546875" style="240" customWidth="1"/>
    <col min="11" max="11" width="13.44140625" style="240" customWidth="1"/>
    <col min="12" max="16384" width="9.21875" style="240"/>
  </cols>
  <sheetData>
    <row r="1" spans="1:15" ht="25.05" customHeight="1" thickBot="1" x14ac:dyDescent="0.35">
      <c r="A1" s="239">
        <v>1</v>
      </c>
    </row>
    <row r="2" spans="1:15" ht="23.1" customHeight="1" thickTop="1" x14ac:dyDescent="0.45">
      <c r="A2" s="241" t="s">
        <v>0</v>
      </c>
      <c r="B2" s="242"/>
      <c r="C2" s="242"/>
      <c r="D2" s="376" t="s">
        <v>1</v>
      </c>
      <c r="E2" s="377"/>
      <c r="F2" s="243"/>
      <c r="G2" s="244"/>
      <c r="H2" s="245"/>
    </row>
    <row r="3" spans="1:15" ht="23.1" customHeight="1" x14ac:dyDescent="0.45">
      <c r="A3" s="246" t="s">
        <v>2</v>
      </c>
      <c r="B3" s="246"/>
      <c r="C3" s="247"/>
      <c r="D3" s="378" t="s">
        <v>3</v>
      </c>
      <c r="E3" s="379"/>
      <c r="F3" s="355">
        <f>INDEX(Colleges!B1:B28,A1)</f>
        <v>0</v>
      </c>
      <c r="G3" s="356"/>
      <c r="H3" s="357"/>
      <c r="K3" s="248"/>
    </row>
    <row r="4" spans="1:15" ht="23.1" customHeight="1" x14ac:dyDescent="0.45">
      <c r="A4" s="249" t="s">
        <v>4</v>
      </c>
      <c r="C4" s="250"/>
      <c r="D4" s="380" t="s">
        <v>5</v>
      </c>
      <c r="E4" s="381"/>
      <c r="F4" s="315"/>
      <c r="G4" s="316"/>
      <c r="H4" s="317"/>
      <c r="K4" s="248"/>
    </row>
    <row r="5" spans="1:15" ht="23.1" customHeight="1" x14ac:dyDescent="0.45">
      <c r="A5" s="251" t="s">
        <v>6</v>
      </c>
      <c r="B5" s="252"/>
      <c r="C5" s="253"/>
      <c r="D5" s="380" t="s">
        <v>7</v>
      </c>
      <c r="E5" s="381"/>
      <c r="F5" s="315"/>
      <c r="G5" s="316"/>
      <c r="H5" s="317"/>
      <c r="K5" s="248"/>
    </row>
    <row r="6" spans="1:15" ht="23.1" customHeight="1" thickBot="1" x14ac:dyDescent="0.5">
      <c r="A6" s="251" t="s">
        <v>8</v>
      </c>
      <c r="B6" s="252"/>
      <c r="C6" s="252"/>
      <c r="D6" s="382" t="s">
        <v>9</v>
      </c>
      <c r="E6" s="383"/>
      <c r="F6" s="312"/>
      <c r="G6" s="313"/>
      <c r="H6" s="314"/>
      <c r="K6" s="248"/>
    </row>
    <row r="7" spans="1:15" ht="23.25" customHeight="1" thickTop="1" thickBot="1" x14ac:dyDescent="0.5">
      <c r="A7" s="251" t="s">
        <v>10</v>
      </c>
      <c r="B7" s="252"/>
      <c r="C7" s="252"/>
      <c r="D7" s="252"/>
      <c r="E7" s="252"/>
      <c r="F7" s="254"/>
      <c r="G7" s="255"/>
      <c r="H7" s="255"/>
      <c r="K7" s="248"/>
      <c r="L7" s="256"/>
    </row>
    <row r="8" spans="1:15" ht="16.8" thickTop="1" thickBot="1" x14ac:dyDescent="0.35">
      <c r="A8" s="328" t="s">
        <v>11</v>
      </c>
      <c r="B8" s="329"/>
      <c r="C8" s="328" t="s">
        <v>12</v>
      </c>
      <c r="D8" s="332"/>
      <c r="E8" s="333"/>
      <c r="F8" s="337" t="s">
        <v>13</v>
      </c>
      <c r="G8" s="338"/>
      <c r="H8" s="339"/>
    </row>
    <row r="9" spans="1:15" ht="32.4" thickTop="1" thickBot="1" x14ac:dyDescent="0.35">
      <c r="A9" s="330"/>
      <c r="B9" s="331"/>
      <c r="C9" s="334"/>
      <c r="D9" s="335"/>
      <c r="E9" s="336"/>
      <c r="F9" s="257" t="s">
        <v>14</v>
      </c>
      <c r="G9" s="258" t="s">
        <v>15</v>
      </c>
      <c r="H9" s="259" t="s">
        <v>16</v>
      </c>
      <c r="M9" s="251"/>
    </row>
    <row r="10" spans="1:15" ht="20.100000000000001" customHeight="1" thickTop="1" thickBot="1" x14ac:dyDescent="0.35">
      <c r="A10" s="330"/>
      <c r="B10" s="331"/>
      <c r="C10" s="340" t="s">
        <v>17</v>
      </c>
      <c r="D10" s="341"/>
      <c r="E10" s="342"/>
      <c r="F10" s="260"/>
      <c r="G10" s="261"/>
      <c r="H10" s="262">
        <f>G10+F10</f>
        <v>0</v>
      </c>
      <c r="K10" s="318" t="s">
        <v>18</v>
      </c>
      <c r="L10" s="368" t="str">
        <f>"There are currently " &amp; IF(G26=0,0,G26) &amp; " Errors"</f>
        <v>There are currently 0 Errors</v>
      </c>
      <c r="M10" s="368"/>
      <c r="N10" s="368"/>
      <c r="O10" s="369"/>
    </row>
    <row r="11" spans="1:15" ht="11.25" customHeight="1" thickTop="1" thickBot="1" x14ac:dyDescent="0.35">
      <c r="A11" s="263"/>
      <c r="B11" s="264"/>
      <c r="C11" s="358"/>
      <c r="D11" s="359"/>
      <c r="E11" s="359"/>
      <c r="F11" s="359"/>
      <c r="G11" s="359"/>
      <c r="H11" s="360"/>
      <c r="K11" s="319"/>
      <c r="L11" s="370"/>
      <c r="M11" s="370"/>
      <c r="N11" s="370"/>
      <c r="O11" s="371"/>
    </row>
    <row r="12" spans="1:15" ht="20.100000000000001" customHeight="1" thickTop="1" thickBot="1" x14ac:dyDescent="0.35">
      <c r="A12" s="372" t="s">
        <v>19</v>
      </c>
      <c r="B12" s="373"/>
      <c r="C12" s="324" t="s">
        <v>20</v>
      </c>
      <c r="D12" s="343" t="s">
        <v>21</v>
      </c>
      <c r="E12" s="344"/>
      <c r="F12" s="265"/>
      <c r="G12" s="266"/>
      <c r="H12" s="267">
        <f>SUM(F12:G12)</f>
        <v>0</v>
      </c>
      <c r="K12" s="322" t="str">
        <f>IF(G26&gt;=1,"Error 1"," ")</f>
        <v xml:space="preserve"> </v>
      </c>
      <c r="L12" s="345" t="str">
        <f>IF(G26=0," ",INDEX(J29:J42,J26,1))</f>
        <v xml:space="preserve"> </v>
      </c>
      <c r="M12" s="345"/>
      <c r="N12" s="345"/>
      <c r="O12" s="346"/>
    </row>
    <row r="13" spans="1:15" ht="20.100000000000001" customHeight="1" thickBot="1" x14ac:dyDescent="0.35">
      <c r="A13" s="372"/>
      <c r="B13" s="373"/>
      <c r="C13" s="325"/>
      <c r="D13" s="349" t="s">
        <v>22</v>
      </c>
      <c r="E13" s="350"/>
      <c r="F13" s="268"/>
      <c r="G13" s="269"/>
      <c r="H13" s="270">
        <f>SUM(F13:G13)</f>
        <v>0</v>
      </c>
      <c r="K13" s="323"/>
      <c r="L13" s="347"/>
      <c r="M13" s="347"/>
      <c r="N13" s="347"/>
      <c r="O13" s="348"/>
    </row>
    <row r="14" spans="1:15" ht="20.100000000000001" customHeight="1" thickTop="1" thickBot="1" x14ac:dyDescent="0.35">
      <c r="A14" s="372"/>
      <c r="B14" s="373"/>
      <c r="C14" s="326"/>
      <c r="D14" s="351" t="s">
        <v>16</v>
      </c>
      <c r="E14" s="352"/>
      <c r="F14" s="271">
        <f>SUM(F12:F13)</f>
        <v>0</v>
      </c>
      <c r="G14" s="271">
        <f>SUM(G12:G13)</f>
        <v>0</v>
      </c>
      <c r="H14" s="271">
        <f>SUM(H12:H13)</f>
        <v>0</v>
      </c>
      <c r="K14" s="323"/>
      <c r="L14" s="347"/>
      <c r="M14" s="347"/>
      <c r="N14" s="347"/>
      <c r="O14" s="348"/>
    </row>
    <row r="15" spans="1:15" ht="20.100000000000001" customHeight="1" thickTop="1" x14ac:dyDescent="0.3">
      <c r="A15" s="372"/>
      <c r="B15" s="373"/>
      <c r="C15" s="324" t="s">
        <v>23</v>
      </c>
      <c r="D15" s="327" t="s">
        <v>21</v>
      </c>
      <c r="E15" s="327"/>
      <c r="F15" s="272"/>
      <c r="G15" s="273"/>
      <c r="H15" s="274">
        <f>SUM(F15:G15)</f>
        <v>0</v>
      </c>
      <c r="K15" s="323" t="str">
        <f>IF(G26&gt;=2,"Error 2"," ")</f>
        <v xml:space="preserve"> </v>
      </c>
      <c r="L15" s="347" t="str">
        <f>IF(G26&lt;2," ",INDEX(J29:J42,J25,1))</f>
        <v xml:space="preserve"> </v>
      </c>
      <c r="M15" s="347"/>
      <c r="N15" s="347"/>
      <c r="O15" s="348"/>
    </row>
    <row r="16" spans="1:15" ht="20.100000000000001" customHeight="1" thickBot="1" x14ac:dyDescent="0.35">
      <c r="A16" s="372"/>
      <c r="B16" s="373"/>
      <c r="C16" s="325"/>
      <c r="D16" s="350" t="s">
        <v>24</v>
      </c>
      <c r="E16" s="350"/>
      <c r="F16" s="275"/>
      <c r="G16" s="269"/>
      <c r="H16" s="276">
        <f>SUM(F16:G16)</f>
        <v>0</v>
      </c>
      <c r="K16" s="323"/>
      <c r="L16" s="347"/>
      <c r="M16" s="347"/>
      <c r="N16" s="347"/>
      <c r="O16" s="348"/>
    </row>
    <row r="17" spans="1:20" ht="20.100000000000001" customHeight="1" thickTop="1" thickBot="1" x14ac:dyDescent="0.35">
      <c r="A17" s="372"/>
      <c r="B17" s="373"/>
      <c r="C17" s="326"/>
      <c r="D17" s="351" t="s">
        <v>16</v>
      </c>
      <c r="E17" s="352"/>
      <c r="F17" s="271">
        <f>SUM(F15:F16)</f>
        <v>0</v>
      </c>
      <c r="G17" s="271">
        <f>SUM(G15:G16)</f>
        <v>0</v>
      </c>
      <c r="H17" s="271">
        <f>SUM(H15:H16)</f>
        <v>0</v>
      </c>
      <c r="K17" s="365"/>
      <c r="L17" s="366"/>
      <c r="M17" s="366"/>
      <c r="N17" s="366"/>
      <c r="O17" s="367"/>
    </row>
    <row r="18" spans="1:20" ht="20.100000000000001" customHeight="1" thickTop="1" thickBot="1" x14ac:dyDescent="0.35">
      <c r="A18" s="372"/>
      <c r="B18" s="373"/>
      <c r="C18" s="324" t="s">
        <v>25</v>
      </c>
      <c r="D18" s="327" t="s">
        <v>21</v>
      </c>
      <c r="E18" s="327"/>
      <c r="F18" s="277">
        <f>SUM(F12+F15)</f>
        <v>0</v>
      </c>
      <c r="G18" s="277">
        <f>SUM(G12+G15)</f>
        <v>0</v>
      </c>
      <c r="H18" s="274">
        <f>SUM(F18:G18)</f>
        <v>0</v>
      </c>
    </row>
    <row r="19" spans="1:20" ht="20.100000000000001" customHeight="1" thickTop="1" thickBot="1" x14ac:dyDescent="0.35">
      <c r="A19" s="372"/>
      <c r="B19" s="373"/>
      <c r="C19" s="325"/>
      <c r="D19" s="350" t="s">
        <v>24</v>
      </c>
      <c r="E19" s="350"/>
      <c r="F19" s="277">
        <f>SUM(F13+F16)</f>
        <v>0</v>
      </c>
      <c r="G19" s="277">
        <f>SUM(G13+G16)</f>
        <v>0</v>
      </c>
      <c r="H19" s="274">
        <f>SUM(F19:G19)</f>
        <v>0</v>
      </c>
    </row>
    <row r="20" spans="1:20" ht="20.100000000000001" customHeight="1" thickTop="1" thickBot="1" x14ac:dyDescent="0.35">
      <c r="A20" s="374"/>
      <c r="B20" s="375"/>
      <c r="C20" s="326"/>
      <c r="D20" s="320" t="s">
        <v>16</v>
      </c>
      <c r="E20" s="321"/>
      <c r="F20" s="271">
        <f>SUM(F18:F19)</f>
        <v>0</v>
      </c>
      <c r="G20" s="271">
        <f>SUM(G18:G19)</f>
        <v>0</v>
      </c>
      <c r="H20" s="271">
        <f>SUM(H18:H19)</f>
        <v>0</v>
      </c>
    </row>
    <row r="21" spans="1:20" ht="15" thickTop="1" x14ac:dyDescent="0.3">
      <c r="A21" s="250"/>
      <c r="B21" s="250"/>
      <c r="C21" s="278"/>
      <c r="D21" s="279"/>
      <c r="E21" s="280"/>
      <c r="F21" s="281"/>
      <c r="G21" s="281"/>
      <c r="H21" s="281"/>
      <c r="I21" s="281"/>
      <c r="J21" s="281"/>
      <c r="K21" s="281"/>
    </row>
    <row r="22" spans="1:20" hidden="1" x14ac:dyDescent="0.3">
      <c r="A22" s="282"/>
      <c r="B22" s="283"/>
      <c r="C22" s="279"/>
      <c r="D22" s="279"/>
      <c r="E22" s="279"/>
      <c r="F22" s="284"/>
      <c r="G22" s="285"/>
      <c r="H22" s="286"/>
      <c r="I22" s="287"/>
      <c r="J22" s="287"/>
    </row>
    <row r="23" spans="1:20" ht="15.6" hidden="1" x14ac:dyDescent="0.3">
      <c r="A23" s="288"/>
      <c r="B23" s="288"/>
      <c r="C23" s="289"/>
      <c r="D23" s="290"/>
      <c r="E23" s="290"/>
      <c r="F23" s="290"/>
      <c r="G23" s="250"/>
      <c r="I23" s="291"/>
      <c r="K23" s="291"/>
    </row>
    <row r="24" spans="1:20" hidden="1" x14ac:dyDescent="0.3"/>
    <row r="25" spans="1:20" ht="15.6" hidden="1" x14ac:dyDescent="0.3">
      <c r="A25" s="6"/>
      <c r="B25" s="6"/>
      <c r="C25" s="6"/>
      <c r="D25" s="6"/>
      <c r="E25" s="6"/>
      <c r="F25" s="6"/>
      <c r="G25" s="6">
        <f>G26</f>
        <v>0</v>
      </c>
      <c r="H25" s="6"/>
      <c r="I25" s="6"/>
      <c r="J25" s="6">
        <f>LARGE(H29:H42,2)</f>
        <v>0</v>
      </c>
      <c r="K25" s="6"/>
      <c r="L25" s="6"/>
      <c r="M25" s="6"/>
      <c r="N25" s="6"/>
      <c r="O25" s="6"/>
      <c r="P25" s="6"/>
      <c r="Q25" s="6"/>
      <c r="R25" s="6"/>
      <c r="S25" s="6"/>
    </row>
    <row r="26" spans="1:20" ht="15.6" hidden="1" x14ac:dyDescent="0.3">
      <c r="A26" s="6"/>
      <c r="B26" s="6"/>
      <c r="C26" s="6"/>
      <c r="D26" s="6"/>
      <c r="E26" s="6"/>
      <c r="F26" s="6"/>
      <c r="G26" s="6">
        <f>COUNTIF(G29:G42,1)</f>
        <v>0</v>
      </c>
      <c r="H26" s="6"/>
      <c r="I26" s="6"/>
      <c r="J26" s="6">
        <f>MAX(H29:H42)</f>
        <v>0</v>
      </c>
      <c r="K26" s="6"/>
      <c r="L26" s="6"/>
      <c r="M26" s="6"/>
      <c r="N26" s="6"/>
      <c r="O26" s="6"/>
      <c r="P26" s="6"/>
      <c r="Q26" s="6"/>
      <c r="R26" s="6"/>
      <c r="S26" s="6"/>
    </row>
    <row r="27" spans="1:20" ht="15.6" hidden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20" ht="16.2" hidden="1" thickBot="1" x14ac:dyDescent="0.35">
      <c r="A28" s="331" t="s">
        <v>26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</row>
    <row r="29" spans="1:20" s="297" customFormat="1" ht="45.75" hidden="1" customHeight="1" thickBot="1" x14ac:dyDescent="0.35">
      <c r="A29" s="361" t="s">
        <v>27</v>
      </c>
      <c r="B29" s="292" t="s">
        <v>28</v>
      </c>
      <c r="C29" s="293" t="s">
        <v>29</v>
      </c>
      <c r="D29" s="294">
        <f>IF(F10&lt;=Headcounts!AB17,0,1)</f>
        <v>0</v>
      </c>
      <c r="E29" s="295" t="str">
        <f>IF(D29=0," ","ERROR: Teaching FTE must not be greater than headcount in Headcount table 1.  Check F10 and Headcount D31 to E32")</f>
        <v xml:space="preserve"> </v>
      </c>
      <c r="F29" s="296"/>
      <c r="G29" s="6" t="str">
        <f>IF(H29=0," ",1)</f>
        <v xml:space="preserve"> </v>
      </c>
      <c r="H29" s="6">
        <f>IF(F10&lt;=Headcounts!AB17,0,1)</f>
        <v>0</v>
      </c>
      <c r="I29" s="6">
        <v>1</v>
      </c>
      <c r="J29" s="6" t="s">
        <v>30</v>
      </c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s="297" customFormat="1" ht="50.25" hidden="1" customHeight="1" thickBot="1" x14ac:dyDescent="0.35">
      <c r="A30" s="362"/>
      <c r="B30" s="292" t="s">
        <v>31</v>
      </c>
      <c r="C30" s="293" t="s">
        <v>29</v>
      </c>
      <c r="D30" s="294">
        <f>IF(G10&lt;=Headcounts!AB22,0,1)</f>
        <v>0</v>
      </c>
      <c r="E30" s="295" t="str">
        <f>IF(D30=0," ","ERROR: Non-teaching FTE must not be greater than headcount in Headcount table 1.  Check G10 and Headcount F31 to G32")</f>
        <v xml:space="preserve"> </v>
      </c>
      <c r="F30" s="298"/>
      <c r="G30" s="6" t="str">
        <f t="shared" ref="G30:G38" si="0">IF(H30=0," ",1)</f>
        <v xml:space="preserve"> </v>
      </c>
      <c r="H30" s="6">
        <f>IF(G10&lt;=Headcounts!AB22,0,2)</f>
        <v>0</v>
      </c>
      <c r="I30" s="6">
        <v>2</v>
      </c>
      <c r="J30" s="6" t="s">
        <v>32</v>
      </c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s="297" customFormat="1" ht="50.25" hidden="1" customHeight="1" thickBot="1" x14ac:dyDescent="0.35">
      <c r="A31" s="362"/>
      <c r="B31" s="292" t="s">
        <v>28</v>
      </c>
      <c r="C31" s="293" t="s">
        <v>29</v>
      </c>
      <c r="D31" s="294">
        <f>IF(AND(Headcounts!AB17&gt;0,F10=0),1,0)</f>
        <v>0</v>
      </c>
      <c r="E31" s="295" t="str">
        <f>IF(D31=0," ","ERROR: Teaching headcount in Headcount, D31 to E32  but no FTE in F10")</f>
        <v xml:space="preserve"> </v>
      </c>
      <c r="F31" s="298"/>
      <c r="G31" s="6" t="str">
        <f>IF(H31=0," ",1)</f>
        <v xml:space="preserve"> </v>
      </c>
      <c r="H31" s="6">
        <f>IF(AND(Headcounts!AB17&gt;0,F10=0),3,0)</f>
        <v>0</v>
      </c>
      <c r="I31" s="6">
        <v>3</v>
      </c>
      <c r="J31" s="6" t="s">
        <v>33</v>
      </c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s="297" customFormat="1" ht="50.25" hidden="1" customHeight="1" thickBot="1" x14ac:dyDescent="0.35">
      <c r="A32" s="362"/>
      <c r="B32" s="292" t="s">
        <v>31</v>
      </c>
      <c r="C32" s="293" t="s">
        <v>29</v>
      </c>
      <c r="D32" s="294">
        <f>IF(AND(Headcounts!AB22&gt;0,G10=0),1,0)</f>
        <v>0</v>
      </c>
      <c r="E32" s="295" t="str">
        <f>IF(D32=0," ","ERROR: Non-teaching headcount in Headcount, F31 to G32  but no FTE in G10")</f>
        <v xml:space="preserve"> </v>
      </c>
      <c r="F32" s="298"/>
      <c r="G32" s="6" t="str">
        <f>IF(H32=0," ",1)</f>
        <v xml:space="preserve"> </v>
      </c>
      <c r="H32" s="6">
        <f>IF(AND(Headcounts!AB22&gt;0,G10=0),4,0)</f>
        <v>0</v>
      </c>
      <c r="I32" s="6">
        <v>4</v>
      </c>
      <c r="J32" s="6" t="s">
        <v>34</v>
      </c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s="297" customFormat="1" ht="64.5" hidden="1" customHeight="1" thickBot="1" x14ac:dyDescent="0.35">
      <c r="A33" s="362"/>
      <c r="B33" s="292" t="s">
        <v>35</v>
      </c>
      <c r="C33" s="293" t="s">
        <v>36</v>
      </c>
      <c r="D33" s="294">
        <f>IF(F12&lt;=Headcounts!AB38,0,1)</f>
        <v>0</v>
      </c>
      <c r="E33" s="295" t="str">
        <f>IF(D33=0," ","ERROR: Full-time permanent teaching FTE must not be greater than headcount in Headcount table 2.  Check F12 and Headcount S51 to Y52")</f>
        <v xml:space="preserve"> </v>
      </c>
      <c r="F33" s="298"/>
      <c r="G33" s="6" t="str">
        <f t="shared" si="0"/>
        <v xml:space="preserve"> </v>
      </c>
      <c r="H33" s="6">
        <f>IF(F12&lt;=Headcounts!AB49,0,5)</f>
        <v>0</v>
      </c>
      <c r="I33" s="6">
        <v>5</v>
      </c>
      <c r="J33" s="6" t="s">
        <v>37</v>
      </c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s="297" customFormat="1" ht="58.5" hidden="1" customHeight="1" thickBot="1" x14ac:dyDescent="0.35">
      <c r="A34" s="362"/>
      <c r="B34" s="292" t="s">
        <v>38</v>
      </c>
      <c r="C34" s="293" t="s">
        <v>36</v>
      </c>
      <c r="D34" s="294">
        <f>IF(F13&lt;=Headcounts!AB39,0,1)</f>
        <v>0</v>
      </c>
      <c r="E34" s="295" t="str">
        <f>IF(D34=0," ","ERROR: Part-time permanent teaching FTE must not be greater than headcount in Headcount table 2.  Check F13 and Headcount S43 to Y44")</f>
        <v xml:space="preserve"> </v>
      </c>
      <c r="F34" s="298"/>
      <c r="G34" s="6" t="str">
        <f t="shared" si="0"/>
        <v xml:space="preserve"> </v>
      </c>
      <c r="H34" s="6">
        <f>IF(F13&lt;=Headcounts!AB51,0,6)</f>
        <v>0</v>
      </c>
      <c r="I34" s="6">
        <v>6</v>
      </c>
      <c r="J34" s="6" t="s">
        <v>39</v>
      </c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297" customFormat="1" ht="47.25" hidden="1" customHeight="1" thickBot="1" x14ac:dyDescent="0.35">
      <c r="A35" s="362"/>
      <c r="B35" s="292" t="s">
        <v>40</v>
      </c>
      <c r="C35" s="293" t="s">
        <v>36</v>
      </c>
      <c r="D35" s="294">
        <f>IF(F15&lt;=Headcounts!AB41,0,1)</f>
        <v>0</v>
      </c>
      <c r="E35" s="295" t="str">
        <f>IF(D35=0," ","ERROR: Full-time temporary teaching FTE must not be greater than headcount in Headcount table 2.  Check F15 and Headcount S41 to Y42")</f>
        <v xml:space="preserve"> </v>
      </c>
      <c r="F35" s="298"/>
      <c r="G35" s="6" t="str">
        <f t="shared" si="0"/>
        <v xml:space="preserve"> </v>
      </c>
      <c r="H35" s="6">
        <f>IF(F15&lt;=Headcounts!AB52,0,7)</f>
        <v>0</v>
      </c>
      <c r="I35" s="6">
        <v>7</v>
      </c>
      <c r="J35" s="6" t="s">
        <v>41</v>
      </c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s="297" customFormat="1" ht="62.25" hidden="1" customHeight="1" thickBot="1" x14ac:dyDescent="0.35">
      <c r="A36" s="362"/>
      <c r="B36" s="292" t="s">
        <v>42</v>
      </c>
      <c r="C36" s="293" t="s">
        <v>36</v>
      </c>
      <c r="D36" s="294">
        <f>IF(F16&lt;=Headcounts!AB42,0,1)</f>
        <v>0</v>
      </c>
      <c r="E36" s="295" t="str">
        <f>IF(D36=0," ","ERROR: Part-time temporary teaching FTE must not be greater than headcount in Headcount table 2.   Check F16 and Headcount S45 to Y46")</f>
        <v xml:space="preserve"> </v>
      </c>
      <c r="F36" s="298"/>
      <c r="G36" s="6" t="str">
        <f t="shared" si="0"/>
        <v xml:space="preserve"> </v>
      </c>
      <c r="H36" s="6">
        <f>IF(F16&lt;=Headcounts!AB54,0,8)</f>
        <v>0</v>
      </c>
      <c r="I36" s="6">
        <v>8</v>
      </c>
      <c r="J36" s="6" t="s">
        <v>43</v>
      </c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297" customFormat="1" ht="60" hidden="1" customHeight="1" thickBot="1" x14ac:dyDescent="0.35">
      <c r="A37" s="362"/>
      <c r="B37" s="292" t="s">
        <v>44</v>
      </c>
      <c r="C37" s="293" t="s">
        <v>36</v>
      </c>
      <c r="D37" s="294">
        <f>IF(G12&lt;=Headcounts!AD38,0,1)</f>
        <v>0</v>
      </c>
      <c r="E37" s="295" t="str">
        <f>IF(D37=0," ","ERROR: Full-time permanent non-teaching FTE must not be greater than headcount in Headcount table 2.  Check G12 and Headcount S52 to Y53")</f>
        <v xml:space="preserve"> </v>
      </c>
      <c r="F37" s="298"/>
      <c r="G37" s="6" t="str">
        <f t="shared" si="0"/>
        <v xml:space="preserve"> </v>
      </c>
      <c r="H37" s="6">
        <f>IF(G12&lt;=Headcounts!AD49,0,9)</f>
        <v>0</v>
      </c>
      <c r="I37" s="6">
        <v>9</v>
      </c>
      <c r="J37" s="6" t="s">
        <v>45</v>
      </c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s="297" customFormat="1" ht="63" hidden="1" customHeight="1" thickBot="1" x14ac:dyDescent="0.35">
      <c r="A38" s="362"/>
      <c r="B38" s="292" t="s">
        <v>46</v>
      </c>
      <c r="C38" s="293" t="s">
        <v>36</v>
      </c>
      <c r="D38" s="294">
        <f>IF(G13&lt;=Headcounts!AD39,0,1)</f>
        <v>0</v>
      </c>
      <c r="E38" s="295" t="str">
        <f>IF(D38=0," ","ERROR: Part-time permanent non-teaching FTE must not be greater than headcount in Headcount table 2.  Check G13 and Headcount S56 to Y57")</f>
        <v xml:space="preserve"> </v>
      </c>
      <c r="F38" s="298"/>
      <c r="G38" s="6" t="str">
        <f t="shared" si="0"/>
        <v xml:space="preserve"> </v>
      </c>
      <c r="H38" s="6">
        <f>IF(G13&lt;=Headcounts!AD50,0,10)</f>
        <v>0</v>
      </c>
      <c r="I38" s="6">
        <v>10</v>
      </c>
      <c r="J38" s="6" t="s">
        <v>47</v>
      </c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s="297" customFormat="1" ht="60" hidden="1" customHeight="1" thickBot="1" x14ac:dyDescent="0.35">
      <c r="A39" s="362"/>
      <c r="B39" s="292" t="s">
        <v>48</v>
      </c>
      <c r="C39" s="293" t="s">
        <v>36</v>
      </c>
      <c r="D39" s="294">
        <f>IF(G15&lt;=Headcounts!AD41,0,1)</f>
        <v>0</v>
      </c>
      <c r="E39" s="295" t="str">
        <f>IF(D39=0," ","ERROR: Full-time temporary non-teaching FTE must not be greater than headcount in Headcount table 2.  Check G15 and Headcount S54 to Y55")</f>
        <v xml:space="preserve"> </v>
      </c>
      <c r="F39" s="298"/>
      <c r="G39" s="6" t="str">
        <f>IF(H39=0," ",1)</f>
        <v xml:space="preserve"> </v>
      </c>
      <c r="H39" s="6">
        <f>IF(G15&lt;=Headcounts!AD52,0,11)</f>
        <v>0</v>
      </c>
      <c r="I39" s="6">
        <v>11</v>
      </c>
      <c r="J39" s="6" t="s">
        <v>49</v>
      </c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s="297" customFormat="1" ht="66.75" hidden="1" customHeight="1" thickBot="1" x14ac:dyDescent="0.35">
      <c r="A40" s="363"/>
      <c r="B40" s="299" t="s">
        <v>50</v>
      </c>
      <c r="C40" s="300" t="s">
        <v>36</v>
      </c>
      <c r="D40" s="301">
        <f>IF(G16&lt;=Headcounts!AD42,0,1)</f>
        <v>0</v>
      </c>
      <c r="E40" s="302" t="str">
        <f>IF(D40=0," ","ERROR: Part-time Temporary non-teaching FTE must not be greater than headcount in Headcount table 2.  Check G16 and Headcount S58 to Y59")</f>
        <v xml:space="preserve"> </v>
      </c>
      <c r="F40" s="298"/>
      <c r="G40" s="6" t="str">
        <f>IF(H40=0," ",1)</f>
        <v xml:space="preserve"> </v>
      </c>
      <c r="H40" s="6">
        <f>IF(G16&lt;=Headcounts!AD53,0,12)</f>
        <v>0</v>
      </c>
      <c r="I40" s="6">
        <v>12</v>
      </c>
      <c r="J40" s="6" t="s">
        <v>51</v>
      </c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s="297" customFormat="1" ht="16.2" hidden="1" thickBot="1" x14ac:dyDescent="0.35">
      <c r="A41" s="361" t="s">
        <v>52</v>
      </c>
      <c r="B41" s="292" t="s">
        <v>53</v>
      </c>
      <c r="C41" s="293" t="s">
        <v>54</v>
      </c>
      <c r="D41" s="294">
        <f>IF(AND(F10+0.2&gt;=(F20),(F20)&gt;=F10-0.2),0,1)</f>
        <v>0</v>
      </c>
      <c r="E41" s="295" t="str">
        <f>IF(D41=0," ","ERROR: Teaching FTE total must be the same in table 1 and table 2(within + or - 0.2), see F20 and F10")</f>
        <v xml:space="preserve"> </v>
      </c>
      <c r="F41" s="303"/>
      <c r="G41" s="6" t="str">
        <f>IF(H41=0," ",1)</f>
        <v xml:space="preserve"> </v>
      </c>
      <c r="H41" s="6">
        <f>IF(AND(F10+0.2&gt;=(F20),(F20)&gt;=F10-0.2),0,13)</f>
        <v>0</v>
      </c>
      <c r="I41" s="6">
        <v>13</v>
      </c>
      <c r="J41" s="6" t="s">
        <v>55</v>
      </c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s="297" customFormat="1" ht="32.25" hidden="1" customHeight="1" thickBot="1" x14ac:dyDescent="0.35">
      <c r="A42" s="364"/>
      <c r="B42" s="304" t="s">
        <v>56</v>
      </c>
      <c r="C42" s="305" t="s">
        <v>54</v>
      </c>
      <c r="D42" s="306">
        <f>IF(AND(G10+0.2&gt;=(G20),(G20)&gt;=G10-0.2),0,1)</f>
        <v>0</v>
      </c>
      <c r="E42" s="307" t="str">
        <f>IF(D42=0," ","Non-teaching FTE total must be the same in table 1 and table 2(within + or - 0.2), see G20 and G10")</f>
        <v xml:space="preserve"> </v>
      </c>
      <c r="F42" s="308"/>
      <c r="G42" s="6" t="str">
        <f>IF(H42=0," ",1)</f>
        <v xml:space="preserve"> </v>
      </c>
      <c r="H42" s="6">
        <f>IF(AND(G10+0.2&gt;=(G20),(G20)&gt;=G10-0.2),0,14)</f>
        <v>0</v>
      </c>
      <c r="I42" s="6">
        <v>14</v>
      </c>
      <c r="J42" s="6" t="s">
        <v>57</v>
      </c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idden="1" x14ac:dyDescent="0.3">
      <c r="A43" s="297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</row>
    <row r="44" spans="1:20" hidden="1" x14ac:dyDescent="0.3"/>
    <row r="45" spans="1:20" hidden="1" x14ac:dyDescent="0.3"/>
    <row r="48" spans="1:20" ht="21" x14ac:dyDescent="0.3">
      <c r="B48" s="309"/>
      <c r="D48" s="353"/>
      <c r="E48" s="353"/>
      <c r="F48" s="353"/>
      <c r="G48" s="353"/>
      <c r="H48" s="353"/>
      <c r="I48" s="353"/>
    </row>
    <row r="49" spans="2:9" ht="18" x14ac:dyDescent="0.3">
      <c r="B49" s="310"/>
      <c r="D49" s="353"/>
      <c r="E49" s="353"/>
      <c r="F49" s="354"/>
      <c r="G49" s="354"/>
      <c r="H49" s="354"/>
      <c r="I49" s="354"/>
    </row>
    <row r="50" spans="2:9" ht="18" x14ac:dyDescent="0.3">
      <c r="B50" s="310"/>
      <c r="D50" s="353"/>
      <c r="E50" s="353"/>
      <c r="F50" s="354"/>
      <c r="G50" s="354"/>
      <c r="H50" s="354"/>
      <c r="I50" s="354"/>
    </row>
    <row r="51" spans="2:9" x14ac:dyDescent="0.3">
      <c r="B51" s="311"/>
      <c r="D51" s="353"/>
      <c r="E51" s="353"/>
      <c r="F51" s="354"/>
      <c r="G51" s="354"/>
      <c r="H51" s="354"/>
      <c r="I51" s="354"/>
    </row>
  </sheetData>
  <mergeCells count="44">
    <mergeCell ref="D2:E2"/>
    <mergeCell ref="D3:E3"/>
    <mergeCell ref="D4:E4"/>
    <mergeCell ref="D5:E5"/>
    <mergeCell ref="D6:E6"/>
    <mergeCell ref="F3:H3"/>
    <mergeCell ref="D48:E48"/>
    <mergeCell ref="C11:H11"/>
    <mergeCell ref="A28:S28"/>
    <mergeCell ref="A29:A40"/>
    <mergeCell ref="A41:A42"/>
    <mergeCell ref="K15:K17"/>
    <mergeCell ref="L15:O17"/>
    <mergeCell ref="D16:E16"/>
    <mergeCell ref="D17:E17"/>
    <mergeCell ref="C18:C20"/>
    <mergeCell ref="D18:E18"/>
    <mergeCell ref="D19:E19"/>
    <mergeCell ref="L10:O11"/>
    <mergeCell ref="A12:B20"/>
    <mergeCell ref="C12:C14"/>
    <mergeCell ref="D51:E51"/>
    <mergeCell ref="F48:I48"/>
    <mergeCell ref="F49:I49"/>
    <mergeCell ref="F50:I50"/>
    <mergeCell ref="F51:I51"/>
    <mergeCell ref="L12:O14"/>
    <mergeCell ref="D13:E13"/>
    <mergeCell ref="D14:E14"/>
    <mergeCell ref="D49:E49"/>
    <mergeCell ref="D50:E50"/>
    <mergeCell ref="C15:C17"/>
    <mergeCell ref="D15:E15"/>
    <mergeCell ref="A8:B10"/>
    <mergeCell ref="C8:E9"/>
    <mergeCell ref="F8:H8"/>
    <mergeCell ref="C10:E10"/>
    <mergeCell ref="D12:E12"/>
    <mergeCell ref="F6:H6"/>
    <mergeCell ref="F5:H5"/>
    <mergeCell ref="F4:H4"/>
    <mergeCell ref="K10:K11"/>
    <mergeCell ref="D20:E20"/>
    <mergeCell ref="K12:K14"/>
  </mergeCells>
  <conditionalFormatting sqref="F20:H20">
    <cfRule type="expression" dxfId="96" priority="9">
      <formula>$H$41&gt;0</formula>
    </cfRule>
  </conditionalFormatting>
  <conditionalFormatting sqref="F12">
    <cfRule type="expression" dxfId="95" priority="13">
      <formula>$H$33&gt;0</formula>
    </cfRule>
  </conditionalFormatting>
  <conditionalFormatting sqref="F13">
    <cfRule type="expression" dxfId="94" priority="14">
      <formula>$H$34&gt;0</formula>
    </cfRule>
  </conditionalFormatting>
  <conditionalFormatting sqref="F15">
    <cfRule type="expression" dxfId="93" priority="15">
      <formula>$H$35&gt;0</formula>
    </cfRule>
  </conditionalFormatting>
  <conditionalFormatting sqref="F16">
    <cfRule type="expression" dxfId="92" priority="16">
      <formula>$H$36&gt;0</formula>
    </cfRule>
  </conditionalFormatting>
  <conditionalFormatting sqref="F10">
    <cfRule type="expression" dxfId="91" priority="8">
      <formula>$H$31&gt;0</formula>
    </cfRule>
    <cfRule type="expression" dxfId="90" priority="17">
      <formula>$H$41&gt;0</formula>
    </cfRule>
    <cfRule type="expression" dxfId="89" priority="18">
      <formula>$H$39&gt;0</formula>
    </cfRule>
    <cfRule type="expression" dxfId="88" priority="19">
      <formula>$H$29&gt;0</formula>
    </cfRule>
  </conditionalFormatting>
  <conditionalFormatting sqref="G10">
    <cfRule type="expression" dxfId="87" priority="7">
      <formula>$H$32&gt;0</formula>
    </cfRule>
    <cfRule type="expression" dxfId="86" priority="20">
      <formula>$H$42&gt;0</formula>
    </cfRule>
    <cfRule type="expression" dxfId="85" priority="21">
      <formula>$H$40&gt;0</formula>
    </cfRule>
    <cfRule type="expression" dxfId="84" priority="22">
      <formula>$H$30&gt;0</formula>
    </cfRule>
  </conditionalFormatting>
  <conditionalFormatting sqref="G12">
    <cfRule type="expression" dxfId="83" priority="6">
      <formula>$H$37&gt;0</formula>
    </cfRule>
  </conditionalFormatting>
  <conditionalFormatting sqref="G13">
    <cfRule type="expression" dxfId="82" priority="5">
      <formula>$H$38&gt;0</formula>
    </cfRule>
  </conditionalFormatting>
  <conditionalFormatting sqref="G15">
    <cfRule type="expression" dxfId="81" priority="4">
      <formula>$H$39&gt;0</formula>
    </cfRule>
  </conditionalFormatting>
  <conditionalFormatting sqref="G16">
    <cfRule type="expression" dxfId="80" priority="3">
      <formula>$H$40&gt;0</formula>
    </cfRule>
  </conditionalFormatting>
  <conditionalFormatting sqref="F18:F19">
    <cfRule type="expression" dxfId="79" priority="2">
      <formula>$H$41&gt;0</formula>
    </cfRule>
  </conditionalFormatting>
  <conditionalFormatting sqref="G18:G19">
    <cfRule type="expression" dxfId="78" priority="1">
      <formula>$H$41&gt;0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H14 H17" formula="1"/>
    <ignoredError sqref="F18:F19 G18:G1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 altText="Please select College">
                <anchor moveWithCells="1">
                  <from>
                    <xdr:col>5</xdr:col>
                    <xdr:colOff>7620</xdr:colOff>
                    <xdr:row>1</xdr:row>
                    <xdr:rowOff>7620</xdr:rowOff>
                  </from>
                  <to>
                    <xdr:col>6</xdr:col>
                    <xdr:colOff>716280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98"/>
  <sheetViews>
    <sheetView topLeftCell="F1" zoomScale="80" zoomScaleNormal="80" workbookViewId="0">
      <selection activeCell="S51" sqref="S51:Y52"/>
    </sheetView>
  </sheetViews>
  <sheetFormatPr defaultColWidth="9.21875" defaultRowHeight="0" customHeight="1" zeroHeight="1" thickBottom="1" x14ac:dyDescent="0.35"/>
  <cols>
    <col min="1" max="1" width="30.44140625" style="238" customWidth="1"/>
    <col min="2" max="2" width="23" style="2" customWidth="1"/>
    <col min="3" max="3" width="26.44140625" style="2" customWidth="1"/>
    <col min="4" max="4" width="16.44140625" style="2" customWidth="1"/>
    <col min="5" max="25" width="15.5546875" style="2" customWidth="1"/>
    <col min="26" max="26" width="9.21875" style="2" customWidth="1"/>
    <col min="27" max="27" width="45.44140625" style="2" customWidth="1"/>
    <col min="28" max="28" width="12.21875" style="2" customWidth="1"/>
    <col min="29" max="29" width="36.5546875" style="2" customWidth="1"/>
    <col min="30" max="30" width="9.21875" style="2" customWidth="1"/>
    <col min="31" max="31" width="5.5546875" style="2" customWidth="1"/>
    <col min="32" max="32" width="11.44140625" style="2" customWidth="1"/>
    <col min="33" max="33" width="26.44140625" style="2" customWidth="1"/>
    <col min="34" max="16384" width="9.21875" style="2"/>
  </cols>
  <sheetData>
    <row r="1" spans="1:33" ht="21.75" customHeight="1" thickBot="1" x14ac:dyDescent="0.35">
      <c r="A1" s="1">
        <v>1</v>
      </c>
      <c r="P1" s="3"/>
    </row>
    <row r="2" spans="1:33" ht="20.100000000000001" customHeight="1" x14ac:dyDescent="0.3">
      <c r="A2" s="4" t="s">
        <v>0</v>
      </c>
      <c r="B2" s="5"/>
      <c r="C2" s="6"/>
      <c r="E2" s="7" t="s">
        <v>58</v>
      </c>
      <c r="F2" s="8"/>
      <c r="G2" s="9"/>
      <c r="H2" s="449"/>
      <c r="I2" s="450"/>
      <c r="K2" s="10"/>
      <c r="L2" s="10"/>
      <c r="M2" s="10"/>
      <c r="N2" s="10"/>
      <c r="O2" s="10"/>
      <c r="AA2" s="448" t="s">
        <v>59</v>
      </c>
      <c r="AB2" s="448"/>
      <c r="AC2" s="448"/>
    </row>
    <row r="3" spans="1:33" ht="20.100000000000001" customHeight="1" x14ac:dyDescent="0.3">
      <c r="A3" s="4" t="s">
        <v>60</v>
      </c>
      <c r="B3" s="5"/>
      <c r="C3" s="6"/>
      <c r="E3" s="11" t="s">
        <v>61</v>
      </c>
      <c r="F3" s="460"/>
      <c r="G3" s="461"/>
      <c r="H3" s="461"/>
      <c r="I3" s="462"/>
      <c r="J3" s="12"/>
      <c r="AA3" s="448"/>
      <c r="AB3" s="448"/>
      <c r="AC3" s="448"/>
    </row>
    <row r="4" spans="1:33" ht="23.1" customHeight="1" x14ac:dyDescent="0.3">
      <c r="A4" s="13" t="s">
        <v>4</v>
      </c>
      <c r="B4" s="6"/>
      <c r="C4" s="6"/>
      <c r="E4" s="11" t="s">
        <v>5</v>
      </c>
      <c r="F4" s="451"/>
      <c r="G4" s="452"/>
      <c r="H4" s="452"/>
      <c r="I4" s="453"/>
      <c r="AA4" s="448"/>
      <c r="AB4" s="448"/>
      <c r="AC4" s="448"/>
    </row>
    <row r="5" spans="1:33" ht="23.1" customHeight="1" x14ac:dyDescent="0.3">
      <c r="A5" s="14" t="s">
        <v>6</v>
      </c>
      <c r="B5" s="6"/>
      <c r="C5" s="6"/>
      <c r="E5" s="11" t="s">
        <v>7</v>
      </c>
      <c r="F5" s="454"/>
      <c r="G5" s="455"/>
      <c r="H5" s="455"/>
      <c r="I5" s="456"/>
      <c r="P5" s="15"/>
      <c r="AA5" s="448"/>
      <c r="AB5" s="448"/>
      <c r="AC5" s="448"/>
    </row>
    <row r="6" spans="1:33" ht="23.1" customHeight="1" thickBot="1" x14ac:dyDescent="0.35">
      <c r="A6" s="14" t="s">
        <v>62</v>
      </c>
      <c r="B6" s="6"/>
      <c r="C6" s="6"/>
      <c r="E6" s="16" t="s">
        <v>9</v>
      </c>
      <c r="F6" s="457"/>
      <c r="G6" s="458"/>
      <c r="H6" s="458"/>
      <c r="I6" s="459"/>
      <c r="P6" s="15"/>
      <c r="AA6" s="448"/>
      <c r="AB6" s="448"/>
      <c r="AC6" s="448"/>
    </row>
    <row r="7" spans="1:33" ht="23.1" customHeight="1" thickBot="1" x14ac:dyDescent="0.35">
      <c r="A7" s="14" t="s">
        <v>10</v>
      </c>
      <c r="B7" s="6"/>
      <c r="C7" s="6"/>
      <c r="E7" s="6"/>
      <c r="F7" s="14"/>
      <c r="G7" s="14"/>
      <c r="H7" s="17"/>
      <c r="I7" s="14"/>
      <c r="K7" s="3"/>
      <c r="P7" s="18"/>
      <c r="Q7" s="18"/>
      <c r="R7" s="18"/>
      <c r="S7" s="18"/>
      <c r="T7" s="18"/>
      <c r="AA7" s="448"/>
      <c r="AB7" s="448"/>
      <c r="AC7" s="448"/>
    </row>
    <row r="8" spans="1:33" ht="27.75" customHeight="1" thickBot="1" x14ac:dyDescent="0.35">
      <c r="A8" s="2"/>
      <c r="J8" s="19" t="s">
        <v>18</v>
      </c>
      <c r="K8" s="427" t="str">
        <f>"There are currently "&amp;IF(G146=0,0,G146) &amp; " Errors"</f>
        <v>There are currently 0 Errors</v>
      </c>
      <c r="L8" s="427"/>
      <c r="M8" s="427"/>
      <c r="N8" s="428"/>
      <c r="AA8" s="448"/>
      <c r="AB8" s="448"/>
      <c r="AC8" s="448"/>
    </row>
    <row r="9" spans="1:33" ht="14.25" customHeight="1" x14ac:dyDescent="0.3">
      <c r="A9" s="2"/>
      <c r="J9" s="429" t="str">
        <f>IF(G146&gt;=1,"Error 1"," ")</f>
        <v xml:space="preserve"> </v>
      </c>
      <c r="K9" s="431" t="str">
        <f>IF(G146=0," ",INDEX(J149:J189,K146,1))</f>
        <v xml:space="preserve"> </v>
      </c>
      <c r="L9" s="431"/>
      <c r="M9" s="431"/>
      <c r="N9" s="432"/>
      <c r="AA9" s="448"/>
      <c r="AB9" s="448"/>
      <c r="AC9" s="448"/>
      <c r="AF9" s="2" t="s">
        <v>63</v>
      </c>
      <c r="AG9" s="2">
        <v>0</v>
      </c>
    </row>
    <row r="10" spans="1:33" ht="18" customHeight="1" x14ac:dyDescent="0.3">
      <c r="A10" s="2"/>
      <c r="J10" s="430"/>
      <c r="K10" s="433"/>
      <c r="L10" s="433"/>
      <c r="M10" s="433"/>
      <c r="N10" s="434"/>
      <c r="AA10" s="480"/>
      <c r="AB10" s="481"/>
      <c r="AF10" s="20" t="s">
        <v>64</v>
      </c>
      <c r="AG10" s="21">
        <v>5261651</v>
      </c>
    </row>
    <row r="11" spans="1:33" ht="12" customHeight="1" x14ac:dyDescent="0.3">
      <c r="A11" s="2"/>
      <c r="J11" s="430" t="str">
        <f>IF(G146&gt;=2,"Error 2"," ")</f>
        <v xml:space="preserve"> </v>
      </c>
      <c r="K11" s="433" t="str">
        <f>IF(G146&lt;2," ",INDEX(J149:J189,K145,1))</f>
        <v xml:space="preserve"> </v>
      </c>
      <c r="L11" s="433"/>
      <c r="M11" s="433"/>
      <c r="N11" s="434"/>
      <c r="AA11" s="22" t="s">
        <v>65</v>
      </c>
      <c r="AB11" s="23"/>
      <c r="AF11" s="20" t="s">
        <v>66</v>
      </c>
      <c r="AG11" s="21">
        <v>5460500</v>
      </c>
    </row>
    <row r="12" spans="1:33" ht="12" customHeight="1" x14ac:dyDescent="0.3">
      <c r="A12" s="2"/>
      <c r="J12" s="430"/>
      <c r="K12" s="433"/>
      <c r="L12" s="433"/>
      <c r="M12" s="433"/>
      <c r="N12" s="434"/>
      <c r="AA12" s="24" t="s">
        <v>67</v>
      </c>
      <c r="AB12" s="25"/>
      <c r="AF12" s="20" t="s">
        <v>68</v>
      </c>
      <c r="AG12" s="21">
        <v>5360056</v>
      </c>
    </row>
    <row r="13" spans="1:33" ht="12" customHeight="1" x14ac:dyDescent="0.3">
      <c r="A13" s="2"/>
      <c r="J13" s="430"/>
      <c r="K13" s="433"/>
      <c r="L13" s="433"/>
      <c r="M13" s="433"/>
      <c r="N13" s="434"/>
      <c r="AA13" s="26" t="s">
        <v>69</v>
      </c>
      <c r="AB13" s="25"/>
      <c r="AF13" s="20" t="s">
        <v>70</v>
      </c>
      <c r="AG13" s="21">
        <v>8460051</v>
      </c>
    </row>
    <row r="14" spans="1:33" ht="12" customHeight="1" thickBot="1" x14ac:dyDescent="0.35">
      <c r="A14" s="2"/>
      <c r="J14" s="482"/>
      <c r="K14" s="483"/>
      <c r="L14" s="483"/>
      <c r="M14" s="483"/>
      <c r="N14" s="484"/>
      <c r="AA14" s="25"/>
      <c r="AB14" s="25"/>
      <c r="AF14" s="20" t="s">
        <v>71</v>
      </c>
      <c r="AG14" s="21">
        <v>8260354</v>
      </c>
    </row>
    <row r="15" spans="1:33" ht="12" customHeight="1" thickBot="1" x14ac:dyDescent="0.35">
      <c r="A15" s="2"/>
      <c r="B15" s="27"/>
      <c r="C15" s="27"/>
      <c r="D15" s="27"/>
      <c r="E15" s="27"/>
      <c r="F15" s="27"/>
      <c r="AA15" s="25"/>
      <c r="AB15" s="25"/>
      <c r="AF15" s="20" t="s">
        <v>72</v>
      </c>
      <c r="AG15" s="21">
        <v>5260159</v>
      </c>
    </row>
    <row r="16" spans="1:33" ht="12" customHeight="1" thickBot="1" x14ac:dyDescent="0.35">
      <c r="A16" s="392" t="s">
        <v>73</v>
      </c>
      <c r="B16" s="445" t="s">
        <v>74</v>
      </c>
      <c r="C16" s="445" t="s">
        <v>75</v>
      </c>
      <c r="D16" s="466" t="s">
        <v>76</v>
      </c>
      <c r="E16" s="467"/>
      <c r="F16" s="467"/>
      <c r="G16" s="467"/>
      <c r="H16" s="468"/>
      <c r="AA16" s="485" t="s">
        <v>77</v>
      </c>
      <c r="AB16" s="486"/>
      <c r="AF16" s="20" t="s">
        <v>78</v>
      </c>
      <c r="AG16" s="21">
        <v>5960150</v>
      </c>
    </row>
    <row r="17" spans="1:33" ht="12" customHeight="1" x14ac:dyDescent="0.3">
      <c r="A17" s="393"/>
      <c r="B17" s="446"/>
      <c r="C17" s="446"/>
      <c r="D17" s="469"/>
      <c r="E17" s="470"/>
      <c r="F17" s="470"/>
      <c r="G17" s="470"/>
      <c r="H17" s="471"/>
      <c r="AA17" s="28" t="s">
        <v>14</v>
      </c>
      <c r="AB17" s="29">
        <f>D43+E43+D44+E44</f>
        <v>0</v>
      </c>
      <c r="AF17" s="20" t="s">
        <v>79</v>
      </c>
      <c r="AG17" s="21">
        <v>5660459</v>
      </c>
    </row>
    <row r="18" spans="1:33" ht="12" customHeight="1" thickBot="1" x14ac:dyDescent="0.35">
      <c r="A18" s="393"/>
      <c r="B18" s="446"/>
      <c r="C18" s="446"/>
      <c r="D18" s="472"/>
      <c r="E18" s="473"/>
      <c r="F18" s="473"/>
      <c r="G18" s="473"/>
      <c r="H18" s="474"/>
      <c r="AA18" s="30" t="s">
        <v>80</v>
      </c>
      <c r="AB18" s="31">
        <f>D43+D44</f>
        <v>0</v>
      </c>
      <c r="AF18" s="20" t="s">
        <v>81</v>
      </c>
      <c r="AG18" s="21">
        <v>8460256</v>
      </c>
    </row>
    <row r="19" spans="1:33" ht="15" customHeight="1" x14ac:dyDescent="0.3">
      <c r="A19" s="393"/>
      <c r="B19" s="446"/>
      <c r="C19" s="446"/>
      <c r="D19" s="487" t="s">
        <v>14</v>
      </c>
      <c r="E19" s="468"/>
      <c r="F19" s="488" t="s">
        <v>82</v>
      </c>
      <c r="G19" s="488" t="s">
        <v>83</v>
      </c>
      <c r="H19" s="488" t="s">
        <v>16</v>
      </c>
      <c r="AA19" s="30" t="s">
        <v>84</v>
      </c>
      <c r="AB19" s="31">
        <f>E43+E44</f>
        <v>0</v>
      </c>
      <c r="AF19" s="20" t="s">
        <v>85</v>
      </c>
      <c r="AG19" s="21">
        <v>5460352</v>
      </c>
    </row>
    <row r="20" spans="1:33" ht="12" customHeight="1" x14ac:dyDescent="0.3">
      <c r="A20" s="393"/>
      <c r="B20" s="446"/>
      <c r="C20" s="446"/>
      <c r="D20" s="439" t="s">
        <v>20</v>
      </c>
      <c r="E20" s="442" t="s">
        <v>23</v>
      </c>
      <c r="F20" s="489"/>
      <c r="G20" s="489"/>
      <c r="H20" s="489"/>
      <c r="AA20" s="30" t="s">
        <v>86</v>
      </c>
      <c r="AB20" s="31">
        <f>D43+E43</f>
        <v>0</v>
      </c>
      <c r="AF20" s="20" t="s">
        <v>87</v>
      </c>
      <c r="AG20" s="21">
        <v>8460500</v>
      </c>
    </row>
    <row r="21" spans="1:33" ht="12" customHeight="1" x14ac:dyDescent="0.3">
      <c r="A21" s="393"/>
      <c r="B21" s="446"/>
      <c r="C21" s="446"/>
      <c r="D21" s="440"/>
      <c r="E21" s="443"/>
      <c r="F21" s="489"/>
      <c r="G21" s="489"/>
      <c r="H21" s="489"/>
      <c r="AA21" s="30" t="s">
        <v>88</v>
      </c>
      <c r="AB21" s="31">
        <f>D44+E44</f>
        <v>0</v>
      </c>
      <c r="AF21" s="20" t="s">
        <v>89</v>
      </c>
      <c r="AG21" s="21">
        <v>8360057</v>
      </c>
    </row>
    <row r="22" spans="1:33" ht="15" customHeight="1" thickBot="1" x14ac:dyDescent="0.35">
      <c r="A22" s="393"/>
      <c r="B22" s="447"/>
      <c r="C22" s="447"/>
      <c r="D22" s="441"/>
      <c r="E22" s="444"/>
      <c r="F22" s="490"/>
      <c r="G22" s="490"/>
      <c r="H22" s="491"/>
      <c r="AA22" s="32" t="s">
        <v>90</v>
      </c>
      <c r="AB22" s="33">
        <f>F43+G43+F44+G44</f>
        <v>0</v>
      </c>
      <c r="AF22" s="20" t="s">
        <v>91</v>
      </c>
      <c r="AG22" s="21">
        <v>8560056</v>
      </c>
    </row>
    <row r="23" spans="1:33" ht="15" customHeight="1" thickBot="1" x14ac:dyDescent="0.35">
      <c r="A23" s="393"/>
      <c r="B23" s="387" t="s">
        <v>92</v>
      </c>
      <c r="C23" s="34" t="s">
        <v>93</v>
      </c>
      <c r="D23" s="35"/>
      <c r="E23" s="35"/>
      <c r="F23" s="36"/>
      <c r="G23" s="36"/>
      <c r="H23" s="37">
        <f>D23+E23+F23+G23</f>
        <v>0</v>
      </c>
      <c r="AA23" s="32"/>
      <c r="AB23" s="33"/>
      <c r="AF23" s="20"/>
      <c r="AG23" s="21"/>
    </row>
    <row r="24" spans="1:33" ht="15" customHeight="1" thickBot="1" x14ac:dyDescent="0.35">
      <c r="A24" s="393"/>
      <c r="B24" s="388"/>
      <c r="C24" s="38" t="s">
        <v>94</v>
      </c>
      <c r="D24" s="39"/>
      <c r="E24" s="35"/>
      <c r="F24" s="36"/>
      <c r="G24" s="36"/>
      <c r="H24" s="37">
        <f t="shared" ref="H24:H34" si="0">D24+E24+F24+G24</f>
        <v>0</v>
      </c>
      <c r="AA24" s="32"/>
      <c r="AB24" s="33"/>
      <c r="AF24" s="20"/>
      <c r="AG24" s="21"/>
    </row>
    <row r="25" spans="1:33" ht="15" customHeight="1" thickBot="1" x14ac:dyDescent="0.35">
      <c r="A25" s="393"/>
      <c r="B25" s="387" t="s">
        <v>95</v>
      </c>
      <c r="C25" s="34" t="s">
        <v>93</v>
      </c>
      <c r="D25" s="35"/>
      <c r="E25" s="35"/>
      <c r="F25" s="36"/>
      <c r="G25" s="36"/>
      <c r="H25" s="37">
        <f t="shared" si="0"/>
        <v>0</v>
      </c>
      <c r="AA25" s="32"/>
      <c r="AB25" s="33"/>
      <c r="AF25" s="20"/>
      <c r="AG25" s="21"/>
    </row>
    <row r="26" spans="1:33" ht="15" customHeight="1" thickBot="1" x14ac:dyDescent="0.35">
      <c r="A26" s="393"/>
      <c r="B26" s="388"/>
      <c r="C26" s="38" t="s">
        <v>94</v>
      </c>
      <c r="D26" s="39"/>
      <c r="E26" s="35"/>
      <c r="F26" s="36"/>
      <c r="G26" s="36"/>
      <c r="H26" s="37">
        <f t="shared" si="0"/>
        <v>0</v>
      </c>
      <c r="AA26" s="32"/>
      <c r="AB26" s="33"/>
      <c r="AF26" s="20"/>
      <c r="AG26" s="21"/>
    </row>
    <row r="27" spans="1:33" ht="15" customHeight="1" thickBot="1" x14ac:dyDescent="0.35">
      <c r="A27" s="393"/>
      <c r="B27" s="387" t="s">
        <v>96</v>
      </c>
      <c r="C27" s="34" t="s">
        <v>93</v>
      </c>
      <c r="D27" s="35"/>
      <c r="E27" s="35"/>
      <c r="F27" s="36"/>
      <c r="G27" s="36"/>
      <c r="H27" s="37">
        <f t="shared" si="0"/>
        <v>0</v>
      </c>
      <c r="AA27" s="32"/>
      <c r="AB27" s="33"/>
      <c r="AF27" s="20"/>
      <c r="AG27" s="21"/>
    </row>
    <row r="28" spans="1:33" ht="15" customHeight="1" thickBot="1" x14ac:dyDescent="0.35">
      <c r="A28" s="393"/>
      <c r="B28" s="388"/>
      <c r="C28" s="38" t="s">
        <v>94</v>
      </c>
      <c r="D28" s="39"/>
      <c r="E28" s="35"/>
      <c r="F28" s="36"/>
      <c r="G28" s="36"/>
      <c r="H28" s="37">
        <f t="shared" si="0"/>
        <v>0</v>
      </c>
      <c r="AA28" s="32"/>
      <c r="AB28" s="33"/>
      <c r="AF28" s="20"/>
      <c r="AG28" s="21"/>
    </row>
    <row r="29" spans="1:33" ht="15" customHeight="1" thickBot="1" x14ac:dyDescent="0.35">
      <c r="A29" s="393"/>
      <c r="B29" s="387" t="s">
        <v>97</v>
      </c>
      <c r="C29" s="34" t="s">
        <v>93</v>
      </c>
      <c r="D29" s="35"/>
      <c r="E29" s="35"/>
      <c r="F29" s="36"/>
      <c r="G29" s="36"/>
      <c r="H29" s="37">
        <f t="shared" si="0"/>
        <v>0</v>
      </c>
      <c r="AA29" s="32"/>
      <c r="AB29" s="33"/>
      <c r="AF29" s="20"/>
      <c r="AG29" s="21"/>
    </row>
    <row r="30" spans="1:33" ht="15" customHeight="1" thickBot="1" x14ac:dyDescent="0.35">
      <c r="A30" s="393"/>
      <c r="B30" s="388"/>
      <c r="C30" s="40" t="s">
        <v>94</v>
      </c>
      <c r="D30" s="39"/>
      <c r="E30" s="35"/>
      <c r="F30" s="36"/>
      <c r="G30" s="36"/>
      <c r="H30" s="37">
        <f t="shared" si="0"/>
        <v>0</v>
      </c>
      <c r="AA30" s="32"/>
      <c r="AB30" s="33"/>
      <c r="AF30" s="20"/>
      <c r="AG30" s="21"/>
    </row>
    <row r="31" spans="1:33" ht="15" customHeight="1" thickBot="1" x14ac:dyDescent="0.35">
      <c r="A31" s="393"/>
      <c r="B31" s="387" t="s">
        <v>98</v>
      </c>
      <c r="C31" s="34" t="s">
        <v>93</v>
      </c>
      <c r="D31" s="35"/>
      <c r="E31" s="35"/>
      <c r="F31" s="36"/>
      <c r="G31" s="36"/>
      <c r="H31" s="37">
        <f t="shared" si="0"/>
        <v>0</v>
      </c>
      <c r="AA31" s="32"/>
      <c r="AB31" s="33"/>
      <c r="AF31" s="20"/>
      <c r="AG31" s="21"/>
    </row>
    <row r="32" spans="1:33" ht="15" customHeight="1" thickBot="1" x14ac:dyDescent="0.35">
      <c r="A32" s="393"/>
      <c r="B32" s="388"/>
      <c r="C32" s="38" t="s">
        <v>94</v>
      </c>
      <c r="D32" s="39"/>
      <c r="E32" s="35"/>
      <c r="F32" s="36"/>
      <c r="G32" s="36"/>
      <c r="H32" s="37">
        <f t="shared" si="0"/>
        <v>0</v>
      </c>
      <c r="AA32" s="32"/>
      <c r="AB32" s="33"/>
      <c r="AF32" s="20"/>
      <c r="AG32" s="21"/>
    </row>
    <row r="33" spans="1:33" ht="15" customHeight="1" thickBot="1" x14ac:dyDescent="0.35">
      <c r="A33" s="393"/>
      <c r="B33" s="387" t="s">
        <v>99</v>
      </c>
      <c r="C33" s="34" t="s">
        <v>93</v>
      </c>
      <c r="D33" s="35"/>
      <c r="E33" s="35"/>
      <c r="F33" s="36"/>
      <c r="G33" s="36"/>
      <c r="H33" s="37">
        <f t="shared" si="0"/>
        <v>0</v>
      </c>
      <c r="AA33" s="32"/>
      <c r="AB33" s="33"/>
      <c r="AF33" s="20"/>
      <c r="AG33" s="21"/>
    </row>
    <row r="34" spans="1:33" ht="15" customHeight="1" thickBot="1" x14ac:dyDescent="0.35">
      <c r="A34" s="393"/>
      <c r="B34" s="388"/>
      <c r="C34" s="38" t="s">
        <v>94</v>
      </c>
      <c r="D34" s="39"/>
      <c r="E34" s="35"/>
      <c r="F34" s="36"/>
      <c r="G34" s="36"/>
      <c r="H34" s="37">
        <f t="shared" si="0"/>
        <v>0</v>
      </c>
      <c r="AA34" s="32"/>
      <c r="AB34" s="33"/>
      <c r="AF34" s="20"/>
      <c r="AG34" s="21"/>
    </row>
    <row r="35" spans="1:33" ht="15" customHeight="1" thickBot="1" x14ac:dyDescent="0.35">
      <c r="A35" s="393"/>
      <c r="B35" s="387" t="s">
        <v>100</v>
      </c>
      <c r="C35" s="34" t="s">
        <v>93</v>
      </c>
      <c r="D35" s="35"/>
      <c r="E35" s="35"/>
      <c r="F35" s="36"/>
      <c r="G35" s="36"/>
      <c r="H35" s="37">
        <f>D35+E35+F35+G35</f>
        <v>0</v>
      </c>
      <c r="AA35" s="30" t="s">
        <v>101</v>
      </c>
      <c r="AB35" s="31">
        <f>F43+G43</f>
        <v>0</v>
      </c>
      <c r="AF35" s="20" t="s">
        <v>102</v>
      </c>
      <c r="AG35" s="21">
        <v>8360154</v>
      </c>
    </row>
    <row r="36" spans="1:33" ht="15" customHeight="1" thickBot="1" x14ac:dyDescent="0.35">
      <c r="A36" s="393"/>
      <c r="B36" s="388"/>
      <c r="C36" s="38" t="s">
        <v>94</v>
      </c>
      <c r="D36" s="39"/>
      <c r="E36" s="35"/>
      <c r="F36" s="36"/>
      <c r="G36" s="36"/>
      <c r="H36" s="41">
        <f t="shared" ref="H36:H44" si="1">D36+E36+F36+G36</f>
        <v>0</v>
      </c>
      <c r="AA36" s="42" t="s">
        <v>103</v>
      </c>
      <c r="AB36" s="43">
        <f>F44+G44</f>
        <v>0</v>
      </c>
      <c r="AF36" s="20" t="s">
        <v>104</v>
      </c>
      <c r="AG36" s="21">
        <v>5960258</v>
      </c>
    </row>
    <row r="37" spans="1:33" ht="15" customHeight="1" thickBot="1" x14ac:dyDescent="0.35">
      <c r="A37" s="393"/>
      <c r="B37" s="387" t="s">
        <v>105</v>
      </c>
      <c r="C37" s="34" t="s">
        <v>93</v>
      </c>
      <c r="D37" s="35"/>
      <c r="E37" s="35"/>
      <c r="F37" s="36"/>
      <c r="G37" s="36"/>
      <c r="H37" s="44">
        <f t="shared" si="1"/>
        <v>0</v>
      </c>
      <c r="AA37" s="25"/>
      <c r="AB37" s="25"/>
      <c r="AF37" s="20" t="s">
        <v>106</v>
      </c>
      <c r="AG37" s="21">
        <v>5360552</v>
      </c>
    </row>
    <row r="38" spans="1:33" ht="15" customHeight="1" thickBot="1" x14ac:dyDescent="0.35">
      <c r="A38" s="393"/>
      <c r="B38" s="435"/>
      <c r="C38" s="38" t="s">
        <v>94</v>
      </c>
      <c r="D38" s="39"/>
      <c r="E38" s="35"/>
      <c r="F38" s="36"/>
      <c r="G38" s="36"/>
      <c r="H38" s="41">
        <f t="shared" si="1"/>
        <v>0</v>
      </c>
      <c r="AA38" s="25"/>
      <c r="AB38" s="25"/>
      <c r="AF38" s="20" t="s">
        <v>107</v>
      </c>
      <c r="AG38" s="21">
        <v>5560357</v>
      </c>
    </row>
    <row r="39" spans="1:33" ht="15" customHeight="1" thickBot="1" x14ac:dyDescent="0.35">
      <c r="A39" s="393"/>
      <c r="B39" s="387" t="s">
        <v>108</v>
      </c>
      <c r="C39" s="34" t="s">
        <v>93</v>
      </c>
      <c r="D39" s="35"/>
      <c r="E39" s="35"/>
      <c r="F39" s="36"/>
      <c r="G39" s="36"/>
      <c r="H39" s="44">
        <f t="shared" si="1"/>
        <v>0</v>
      </c>
      <c r="AA39" s="25"/>
      <c r="AB39" s="25"/>
      <c r="AF39" s="20" t="s">
        <v>109</v>
      </c>
      <c r="AG39" s="21">
        <v>5460255</v>
      </c>
    </row>
    <row r="40" spans="1:33" ht="15" customHeight="1" thickBot="1" x14ac:dyDescent="0.35">
      <c r="A40" s="393"/>
      <c r="B40" s="435"/>
      <c r="C40" s="38" t="s">
        <v>94</v>
      </c>
      <c r="D40" s="39"/>
      <c r="E40" s="35"/>
      <c r="F40" s="36"/>
      <c r="G40" s="36"/>
      <c r="H40" s="41">
        <f t="shared" si="1"/>
        <v>0</v>
      </c>
      <c r="AA40" s="25"/>
      <c r="AB40" s="25"/>
      <c r="AF40" s="20" t="s">
        <v>110</v>
      </c>
      <c r="AG40" s="21">
        <v>5760500</v>
      </c>
    </row>
    <row r="41" spans="1:33" ht="15" customHeight="1" thickBot="1" x14ac:dyDescent="0.35">
      <c r="A41" s="393"/>
      <c r="B41" s="387" t="s">
        <v>111</v>
      </c>
      <c r="C41" s="34" t="s">
        <v>93</v>
      </c>
      <c r="D41" s="35"/>
      <c r="E41" s="35"/>
      <c r="F41" s="36"/>
      <c r="G41" s="36"/>
      <c r="H41" s="44">
        <f t="shared" si="1"/>
        <v>0</v>
      </c>
      <c r="AA41" s="25"/>
      <c r="AB41" s="25"/>
      <c r="AF41" s="20" t="s">
        <v>112</v>
      </c>
      <c r="AG41" s="21">
        <v>5160553</v>
      </c>
    </row>
    <row r="42" spans="1:33" ht="15" customHeight="1" thickBot="1" x14ac:dyDescent="0.35">
      <c r="A42" s="393"/>
      <c r="B42" s="438"/>
      <c r="C42" s="40" t="s">
        <v>94</v>
      </c>
      <c r="D42" s="39"/>
      <c r="E42" s="35"/>
      <c r="F42" s="36"/>
      <c r="G42" s="36"/>
      <c r="H42" s="41">
        <f t="shared" si="1"/>
        <v>0</v>
      </c>
      <c r="AA42" s="25"/>
      <c r="AB42" s="25"/>
      <c r="AF42" s="20" t="s">
        <v>113</v>
      </c>
      <c r="AG42" s="21">
        <v>8660557</v>
      </c>
    </row>
    <row r="43" spans="1:33" ht="15" customHeight="1" x14ac:dyDescent="0.3">
      <c r="A43" s="393"/>
      <c r="B43" s="387" t="s">
        <v>16</v>
      </c>
      <c r="C43" s="34" t="s">
        <v>93</v>
      </c>
      <c r="D43" s="45">
        <f t="shared" ref="D43:G44" si="2">D23+D25+D27+D29+D31+D33+D35+D37+D39+D41</f>
        <v>0</v>
      </c>
      <c r="E43" s="45">
        <f t="shared" si="2"/>
        <v>0</v>
      </c>
      <c r="F43" s="45">
        <f t="shared" si="2"/>
        <v>0</v>
      </c>
      <c r="G43" s="45">
        <f t="shared" si="2"/>
        <v>0</v>
      </c>
      <c r="H43" s="46">
        <f t="shared" si="1"/>
        <v>0</v>
      </c>
      <c r="AA43" s="25"/>
      <c r="AB43" s="25"/>
      <c r="AF43" s="20" t="s">
        <v>114</v>
      </c>
      <c r="AG43" s="21">
        <v>5560756</v>
      </c>
    </row>
    <row r="44" spans="1:33" ht="15" customHeight="1" thickBot="1" x14ac:dyDescent="0.35">
      <c r="A44" s="394"/>
      <c r="B44" s="435"/>
      <c r="C44" s="38" t="s">
        <v>94</v>
      </c>
      <c r="D44" s="47">
        <f t="shared" si="2"/>
        <v>0</v>
      </c>
      <c r="E44" s="47">
        <f t="shared" si="2"/>
        <v>0</v>
      </c>
      <c r="F44" s="47">
        <f t="shared" si="2"/>
        <v>0</v>
      </c>
      <c r="G44" s="47">
        <f t="shared" si="2"/>
        <v>0</v>
      </c>
      <c r="H44" s="48">
        <f t="shared" si="1"/>
        <v>0</v>
      </c>
      <c r="AA44" s="25"/>
      <c r="AB44" s="25"/>
      <c r="AF44" s="20" t="s">
        <v>115</v>
      </c>
      <c r="AG44" s="21">
        <v>8462356</v>
      </c>
    </row>
    <row r="45" spans="1:33" s="52" customFormat="1" ht="19.350000000000001" customHeight="1" x14ac:dyDescent="0.3">
      <c r="A45" s="49"/>
      <c r="B45" s="49" t="s">
        <v>116</v>
      </c>
      <c r="C45" s="50"/>
      <c r="D45" s="51">
        <f>D43+D44</f>
        <v>0</v>
      </c>
      <c r="E45" s="51">
        <f>E43+E44</f>
        <v>0</v>
      </c>
      <c r="F45" s="51">
        <f>F43+F44</f>
        <v>0</v>
      </c>
      <c r="G45" s="51">
        <f>G43+G44</f>
        <v>0</v>
      </c>
      <c r="H45" s="51">
        <f>H43+H44</f>
        <v>0</v>
      </c>
      <c r="AA45" s="53"/>
      <c r="AB45" s="53"/>
      <c r="AF45" s="54"/>
      <c r="AG45" s="55"/>
    </row>
    <row r="46" spans="1:33" ht="12" customHeight="1" thickBot="1" x14ac:dyDescent="0.35">
      <c r="A46" s="56"/>
      <c r="B46" s="56"/>
      <c r="C46" s="27"/>
      <c r="D46" s="27"/>
      <c r="E46" s="27"/>
      <c r="F46" s="27"/>
      <c r="G46" s="27"/>
      <c r="AA46" s="25"/>
      <c r="AB46" s="25"/>
      <c r="AF46" s="20"/>
      <c r="AG46" s="21"/>
    </row>
    <row r="47" spans="1:33" ht="15" customHeight="1" thickBot="1" x14ac:dyDescent="0.35">
      <c r="A47" s="395" t="s">
        <v>117</v>
      </c>
      <c r="B47" s="415" t="s">
        <v>118</v>
      </c>
      <c r="C47" s="415" t="s">
        <v>119</v>
      </c>
      <c r="D47" s="415" t="s">
        <v>75</v>
      </c>
      <c r="E47" s="477" t="s">
        <v>120</v>
      </c>
      <c r="F47" s="478"/>
      <c r="G47" s="478"/>
      <c r="H47" s="478"/>
      <c r="I47" s="478"/>
      <c r="J47" s="478"/>
      <c r="K47" s="478"/>
      <c r="L47" s="478"/>
      <c r="M47" s="478"/>
      <c r="N47" s="478"/>
      <c r="O47" s="478"/>
      <c r="P47" s="478"/>
      <c r="Q47" s="478"/>
      <c r="R47" s="478"/>
      <c r="S47" s="478"/>
      <c r="T47" s="478"/>
      <c r="U47" s="478"/>
      <c r="V47" s="478"/>
      <c r="W47" s="478"/>
      <c r="X47" s="478"/>
      <c r="Y47" s="479"/>
      <c r="AA47" s="418" t="s">
        <v>121</v>
      </c>
      <c r="AB47" s="419"/>
      <c r="AC47" s="419"/>
      <c r="AD47" s="463"/>
      <c r="AF47" s="20" t="s">
        <v>122</v>
      </c>
      <c r="AG47" s="21">
        <v>6232655</v>
      </c>
    </row>
    <row r="48" spans="1:33" ht="15" customHeight="1" x14ac:dyDescent="0.3">
      <c r="A48" s="396"/>
      <c r="B48" s="436"/>
      <c r="C48" s="436"/>
      <c r="D48" s="436"/>
      <c r="E48" s="408" t="s">
        <v>123</v>
      </c>
      <c r="F48" s="475"/>
      <c r="G48" s="475"/>
      <c r="H48" s="475"/>
      <c r="I48" s="475"/>
      <c r="J48" s="475"/>
      <c r="K48" s="476"/>
      <c r="L48" s="408" t="s">
        <v>124</v>
      </c>
      <c r="M48" s="475"/>
      <c r="N48" s="475"/>
      <c r="O48" s="475"/>
      <c r="P48" s="475"/>
      <c r="Q48" s="475"/>
      <c r="R48" s="476"/>
      <c r="S48" s="408" t="s">
        <v>16</v>
      </c>
      <c r="T48" s="475"/>
      <c r="U48" s="475"/>
      <c r="V48" s="475"/>
      <c r="W48" s="475"/>
      <c r="X48" s="475"/>
      <c r="Y48" s="476"/>
      <c r="AA48" s="57" t="s">
        <v>14</v>
      </c>
      <c r="AB48" s="58">
        <f>SUM(S59:Y62)</f>
        <v>0</v>
      </c>
      <c r="AC48" s="57" t="s">
        <v>90</v>
      </c>
      <c r="AD48" s="58">
        <f>SUM(S72:Y75)</f>
        <v>0</v>
      </c>
      <c r="AF48" s="20" t="s">
        <v>125</v>
      </c>
      <c r="AG48" s="21">
        <v>5260051</v>
      </c>
    </row>
    <row r="49" spans="1:33" ht="19.05" customHeight="1" thickBot="1" x14ac:dyDescent="0.35">
      <c r="A49" s="396"/>
      <c r="B49" s="436"/>
      <c r="C49" s="436"/>
      <c r="D49" s="436"/>
      <c r="E49" s="422" t="s">
        <v>126</v>
      </c>
      <c r="F49" s="464"/>
      <c r="G49" s="464"/>
      <c r="H49" s="464"/>
      <c r="I49" s="464"/>
      <c r="J49" s="464"/>
      <c r="K49" s="465"/>
      <c r="L49" s="422" t="s">
        <v>126</v>
      </c>
      <c r="M49" s="464"/>
      <c r="N49" s="464"/>
      <c r="O49" s="464"/>
      <c r="P49" s="464"/>
      <c r="Q49" s="464"/>
      <c r="R49" s="465"/>
      <c r="S49" s="422" t="s">
        <v>126</v>
      </c>
      <c r="T49" s="464"/>
      <c r="U49" s="464"/>
      <c r="V49" s="464"/>
      <c r="W49" s="464"/>
      <c r="X49" s="464"/>
      <c r="Y49" s="465"/>
      <c r="AA49" s="30" t="s">
        <v>80</v>
      </c>
      <c r="AB49" s="59">
        <f>SUM(S59:Y60)</f>
        <v>0</v>
      </c>
      <c r="AC49" s="60" t="s">
        <v>127</v>
      </c>
      <c r="AD49" s="31">
        <f>SUM(S72:Y73)</f>
        <v>0</v>
      </c>
      <c r="AF49" s="20" t="s">
        <v>128</v>
      </c>
      <c r="AG49" s="21">
        <v>8560153</v>
      </c>
    </row>
    <row r="50" spans="1:33" ht="58.5" customHeight="1" thickBot="1" x14ac:dyDescent="0.35">
      <c r="A50" s="396"/>
      <c r="B50" s="437"/>
      <c r="C50" s="437"/>
      <c r="D50" s="437"/>
      <c r="E50" s="61" t="s">
        <v>129</v>
      </c>
      <c r="F50" s="62" t="s">
        <v>130</v>
      </c>
      <c r="G50" s="62" t="s">
        <v>131</v>
      </c>
      <c r="H50" s="62" t="s">
        <v>132</v>
      </c>
      <c r="I50" s="62" t="s">
        <v>133</v>
      </c>
      <c r="J50" s="62" t="s">
        <v>134</v>
      </c>
      <c r="K50" s="63" t="s">
        <v>135</v>
      </c>
      <c r="L50" s="61" t="s">
        <v>129</v>
      </c>
      <c r="M50" s="62" t="s">
        <v>130</v>
      </c>
      <c r="N50" s="62" t="s">
        <v>131</v>
      </c>
      <c r="O50" s="62" t="s">
        <v>132</v>
      </c>
      <c r="P50" s="62" t="s">
        <v>133</v>
      </c>
      <c r="Q50" s="64" t="s">
        <v>136</v>
      </c>
      <c r="R50" s="65" t="s">
        <v>137</v>
      </c>
      <c r="S50" s="61" t="s">
        <v>129</v>
      </c>
      <c r="T50" s="62" t="s">
        <v>130</v>
      </c>
      <c r="U50" s="62" t="s">
        <v>131</v>
      </c>
      <c r="V50" s="62" t="s">
        <v>132</v>
      </c>
      <c r="W50" s="62" t="s">
        <v>133</v>
      </c>
      <c r="X50" s="62" t="s">
        <v>136</v>
      </c>
      <c r="Y50" s="66" t="s">
        <v>137</v>
      </c>
      <c r="AA50" s="67" t="s">
        <v>138</v>
      </c>
      <c r="AB50" s="68">
        <f>SUM(S51:Y52)</f>
        <v>0</v>
      </c>
      <c r="AC50" s="67" t="s">
        <v>139</v>
      </c>
      <c r="AD50" s="68">
        <f>SUM(S64:Y65)</f>
        <v>0</v>
      </c>
      <c r="AF50" s="20" t="s">
        <v>140</v>
      </c>
      <c r="AG50" s="21">
        <v>8462453</v>
      </c>
    </row>
    <row r="51" spans="1:33" ht="20.100000000000001" customHeight="1" x14ac:dyDescent="0.3">
      <c r="A51" s="384" t="s">
        <v>14</v>
      </c>
      <c r="B51" s="389" t="s">
        <v>21</v>
      </c>
      <c r="C51" s="397" t="s">
        <v>20</v>
      </c>
      <c r="D51" s="69" t="s">
        <v>93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72">
        <f t="shared" ref="S51:Y58" si="3">E51+L51</f>
        <v>0</v>
      </c>
      <c r="T51" s="73">
        <f t="shared" si="3"/>
        <v>0</v>
      </c>
      <c r="U51" s="73">
        <f t="shared" si="3"/>
        <v>0</v>
      </c>
      <c r="V51" s="73">
        <f t="shared" si="3"/>
        <v>0</v>
      </c>
      <c r="W51" s="73">
        <f t="shared" si="3"/>
        <v>0</v>
      </c>
      <c r="X51" s="73">
        <f t="shared" si="3"/>
        <v>0</v>
      </c>
      <c r="Y51" s="74">
        <f t="shared" si="3"/>
        <v>0</v>
      </c>
      <c r="AA51" s="67" t="s">
        <v>141</v>
      </c>
      <c r="AB51" s="68">
        <f>SUM(S55:Y56)</f>
        <v>0</v>
      </c>
      <c r="AC51" s="67" t="s">
        <v>142</v>
      </c>
      <c r="AD51" s="68">
        <f>SUM(S68:Y69)</f>
        <v>0</v>
      </c>
      <c r="AF51" s="20" t="s">
        <v>143</v>
      </c>
      <c r="AG51" s="21">
        <v>5560055</v>
      </c>
    </row>
    <row r="52" spans="1:33" ht="20.100000000000001" customHeight="1" x14ac:dyDescent="0.3">
      <c r="A52" s="385"/>
      <c r="B52" s="390"/>
      <c r="C52" s="398"/>
      <c r="D52" s="75" t="s">
        <v>94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7"/>
      <c r="S52" s="78">
        <f t="shared" si="3"/>
        <v>0</v>
      </c>
      <c r="T52" s="79">
        <f t="shared" si="3"/>
        <v>0</v>
      </c>
      <c r="U52" s="79">
        <f t="shared" si="3"/>
        <v>0</v>
      </c>
      <c r="V52" s="79">
        <f t="shared" si="3"/>
        <v>0</v>
      </c>
      <c r="W52" s="79">
        <f t="shared" si="3"/>
        <v>0</v>
      </c>
      <c r="X52" s="79">
        <f t="shared" si="3"/>
        <v>0</v>
      </c>
      <c r="Y52" s="80">
        <f t="shared" si="3"/>
        <v>0</v>
      </c>
      <c r="AA52" s="30" t="s">
        <v>84</v>
      </c>
      <c r="AB52" s="59">
        <f>SUM(S61:Y62)</f>
        <v>0</v>
      </c>
      <c r="AC52" s="60" t="s">
        <v>144</v>
      </c>
      <c r="AD52" s="31">
        <f>SUM(S74:Y75)</f>
        <v>0</v>
      </c>
      <c r="AF52" s="20" t="s">
        <v>145</v>
      </c>
      <c r="AG52" s="21">
        <v>5360455</v>
      </c>
    </row>
    <row r="53" spans="1:33" ht="20.100000000000001" customHeight="1" x14ac:dyDescent="0.3">
      <c r="A53" s="385"/>
      <c r="B53" s="390"/>
      <c r="C53" s="399" t="s">
        <v>23</v>
      </c>
      <c r="D53" s="81" t="s">
        <v>93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7"/>
      <c r="S53" s="78">
        <f t="shared" si="3"/>
        <v>0</v>
      </c>
      <c r="T53" s="79">
        <f t="shared" si="3"/>
        <v>0</v>
      </c>
      <c r="U53" s="79">
        <f t="shared" si="3"/>
        <v>0</v>
      </c>
      <c r="V53" s="79">
        <f t="shared" si="3"/>
        <v>0</v>
      </c>
      <c r="W53" s="79">
        <f t="shared" si="3"/>
        <v>0</v>
      </c>
      <c r="X53" s="79">
        <f t="shared" si="3"/>
        <v>0</v>
      </c>
      <c r="Y53" s="80">
        <f t="shared" si="3"/>
        <v>0</v>
      </c>
      <c r="AA53" s="67" t="s">
        <v>146</v>
      </c>
      <c r="AB53" s="68">
        <f>SUM(S53:Y54)</f>
        <v>0</v>
      </c>
      <c r="AC53" s="67" t="s">
        <v>147</v>
      </c>
      <c r="AD53" s="68">
        <f>SUM(S66:Y67)</f>
        <v>0</v>
      </c>
      <c r="AF53" s="20" t="s">
        <v>148</v>
      </c>
      <c r="AG53" s="21">
        <v>8660352</v>
      </c>
    </row>
    <row r="54" spans="1:33" ht="20.100000000000001" customHeight="1" thickBot="1" x14ac:dyDescent="0.35">
      <c r="A54" s="385"/>
      <c r="B54" s="391"/>
      <c r="C54" s="391"/>
      <c r="D54" s="82" t="s">
        <v>94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4">
        <f t="shared" si="3"/>
        <v>0</v>
      </c>
      <c r="T54" s="85">
        <f t="shared" si="3"/>
        <v>0</v>
      </c>
      <c r="U54" s="85">
        <f t="shared" si="3"/>
        <v>0</v>
      </c>
      <c r="V54" s="85">
        <f t="shared" si="3"/>
        <v>0</v>
      </c>
      <c r="W54" s="85">
        <f t="shared" si="3"/>
        <v>0</v>
      </c>
      <c r="X54" s="85">
        <f t="shared" si="3"/>
        <v>0</v>
      </c>
      <c r="Y54" s="86">
        <f t="shared" si="3"/>
        <v>0</v>
      </c>
      <c r="AA54" s="67" t="s">
        <v>149</v>
      </c>
      <c r="AB54" s="68">
        <f>SUM(S57:Y58)</f>
        <v>0</v>
      </c>
      <c r="AC54" s="67" t="s">
        <v>150</v>
      </c>
      <c r="AD54" s="68">
        <f>SUM(S70:Y71)</f>
        <v>0</v>
      </c>
      <c r="AF54" s="20" t="s">
        <v>151</v>
      </c>
      <c r="AG54" s="21">
        <v>8461652</v>
      </c>
    </row>
    <row r="55" spans="1:33" ht="20.100000000000001" customHeight="1" x14ac:dyDescent="0.3">
      <c r="A55" s="385"/>
      <c r="B55" s="389" t="s">
        <v>24</v>
      </c>
      <c r="C55" s="397" t="s">
        <v>20</v>
      </c>
      <c r="D55" s="69" t="s">
        <v>93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1"/>
      <c r="S55" s="72">
        <f t="shared" si="3"/>
        <v>0</v>
      </c>
      <c r="T55" s="73">
        <f t="shared" si="3"/>
        <v>0</v>
      </c>
      <c r="U55" s="73">
        <f t="shared" si="3"/>
        <v>0</v>
      </c>
      <c r="V55" s="73">
        <f t="shared" si="3"/>
        <v>0</v>
      </c>
      <c r="W55" s="73">
        <f t="shared" si="3"/>
        <v>0</v>
      </c>
      <c r="X55" s="73">
        <f t="shared" si="3"/>
        <v>0</v>
      </c>
      <c r="Y55" s="74">
        <f t="shared" si="3"/>
        <v>0</v>
      </c>
      <c r="AA55" s="30" t="s">
        <v>152</v>
      </c>
      <c r="AB55" s="59">
        <f>SUM(S51:Y54)</f>
        <v>0</v>
      </c>
      <c r="AC55" s="30" t="s">
        <v>153</v>
      </c>
      <c r="AD55" s="59">
        <f>SUM(S64:Y67)</f>
        <v>0</v>
      </c>
      <c r="AF55" s="20" t="s">
        <v>154</v>
      </c>
      <c r="AG55" s="21">
        <v>5560454</v>
      </c>
    </row>
    <row r="56" spans="1:33" ht="20.100000000000001" customHeight="1" x14ac:dyDescent="0.3">
      <c r="A56" s="385"/>
      <c r="B56" s="390"/>
      <c r="C56" s="398"/>
      <c r="D56" s="75" t="s">
        <v>94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7"/>
      <c r="S56" s="78">
        <f t="shared" si="3"/>
        <v>0</v>
      </c>
      <c r="T56" s="79">
        <f t="shared" si="3"/>
        <v>0</v>
      </c>
      <c r="U56" s="79">
        <f t="shared" si="3"/>
        <v>0</v>
      </c>
      <c r="V56" s="79">
        <f t="shared" si="3"/>
        <v>0</v>
      </c>
      <c r="W56" s="79">
        <f t="shared" si="3"/>
        <v>0</v>
      </c>
      <c r="X56" s="79">
        <f t="shared" si="3"/>
        <v>0</v>
      </c>
      <c r="Y56" s="80">
        <f t="shared" si="3"/>
        <v>0</v>
      </c>
      <c r="AA56" s="30" t="s">
        <v>155</v>
      </c>
      <c r="AB56" s="59">
        <f>SUM(S55:Y58)</f>
        <v>0</v>
      </c>
      <c r="AC56" s="30" t="s">
        <v>156</v>
      </c>
      <c r="AD56" s="59">
        <f>SUM(S68:Y71)</f>
        <v>0</v>
      </c>
      <c r="AF56" s="20" t="s">
        <v>157</v>
      </c>
      <c r="AG56" s="21">
        <v>8461155</v>
      </c>
    </row>
    <row r="57" spans="1:33" ht="20.100000000000001" customHeight="1" x14ac:dyDescent="0.3">
      <c r="A57" s="385"/>
      <c r="B57" s="390"/>
      <c r="C57" s="399" t="s">
        <v>23</v>
      </c>
      <c r="D57" s="81" t="s">
        <v>93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7"/>
      <c r="S57" s="78">
        <f t="shared" si="3"/>
        <v>0</v>
      </c>
      <c r="T57" s="79">
        <f t="shared" si="3"/>
        <v>0</v>
      </c>
      <c r="U57" s="79">
        <f t="shared" si="3"/>
        <v>0</v>
      </c>
      <c r="V57" s="79">
        <f t="shared" si="3"/>
        <v>0</v>
      </c>
      <c r="W57" s="79">
        <f t="shared" si="3"/>
        <v>0</v>
      </c>
      <c r="X57" s="79">
        <f t="shared" si="3"/>
        <v>0</v>
      </c>
      <c r="Y57" s="80">
        <f t="shared" si="3"/>
        <v>0</v>
      </c>
      <c r="AA57" s="30" t="s">
        <v>86</v>
      </c>
      <c r="AB57" s="59">
        <f>S59+T59+U59+V59+W59+X59+Y59+S61+T61+U61+V61+W61+X61+Y61</f>
        <v>0</v>
      </c>
      <c r="AC57" s="30" t="s">
        <v>101</v>
      </c>
      <c r="AD57" s="59">
        <f>S72+T72+U72+V72+W72+X72+Y72+S74+T74+U74+V74+W74+X74+Y74</f>
        <v>0</v>
      </c>
      <c r="AF57" s="20" t="s">
        <v>158</v>
      </c>
      <c r="AG57" s="21">
        <v>5160057</v>
      </c>
    </row>
    <row r="58" spans="1:33" ht="20.100000000000001" customHeight="1" thickBot="1" x14ac:dyDescent="0.35">
      <c r="A58" s="385"/>
      <c r="B58" s="391"/>
      <c r="C58" s="391"/>
      <c r="D58" s="87" t="s">
        <v>94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4">
        <f t="shared" si="3"/>
        <v>0</v>
      </c>
      <c r="T58" s="85">
        <f t="shared" si="3"/>
        <v>0</v>
      </c>
      <c r="U58" s="85">
        <f t="shared" si="3"/>
        <v>0</v>
      </c>
      <c r="V58" s="85">
        <f t="shared" si="3"/>
        <v>0</v>
      </c>
      <c r="W58" s="85">
        <f t="shared" si="3"/>
        <v>0</v>
      </c>
      <c r="X58" s="85">
        <f t="shared" si="3"/>
        <v>0</v>
      </c>
      <c r="Y58" s="86">
        <f t="shared" si="3"/>
        <v>0</v>
      </c>
      <c r="AA58" s="30" t="s">
        <v>88</v>
      </c>
      <c r="AB58" s="59">
        <f>S60+T60+U60+V60+W60+X60+Y60+S62+T62+U62+V62+W62+X62+Y62</f>
        <v>0</v>
      </c>
      <c r="AC58" s="30" t="s">
        <v>103</v>
      </c>
      <c r="AD58" s="59">
        <f>S73+T73+U73+V73+W73+X73+Y73+S75+T75+U75+V75+W75+X75+Y75</f>
        <v>0</v>
      </c>
      <c r="AF58" s="20" t="s">
        <v>159</v>
      </c>
      <c r="AG58" s="21">
        <v>5560659</v>
      </c>
    </row>
    <row r="59" spans="1:33" ht="20.100000000000001" customHeight="1" x14ac:dyDescent="0.3">
      <c r="A59" s="385"/>
      <c r="B59" s="389" t="s">
        <v>16</v>
      </c>
      <c r="C59" s="397" t="s">
        <v>20</v>
      </c>
      <c r="D59" s="69" t="s">
        <v>93</v>
      </c>
      <c r="E59" s="72">
        <f t="shared" ref="E59:Y62" si="4">E51+E55</f>
        <v>0</v>
      </c>
      <c r="F59" s="73">
        <f t="shared" si="4"/>
        <v>0</v>
      </c>
      <c r="G59" s="73">
        <f t="shared" si="4"/>
        <v>0</v>
      </c>
      <c r="H59" s="73">
        <f t="shared" si="4"/>
        <v>0</v>
      </c>
      <c r="I59" s="73">
        <f t="shared" si="4"/>
        <v>0</v>
      </c>
      <c r="J59" s="73">
        <f t="shared" si="4"/>
        <v>0</v>
      </c>
      <c r="K59" s="88">
        <f t="shared" si="4"/>
        <v>0</v>
      </c>
      <c r="L59" s="72">
        <f t="shared" si="4"/>
        <v>0</v>
      </c>
      <c r="M59" s="73">
        <f t="shared" si="4"/>
        <v>0</v>
      </c>
      <c r="N59" s="73">
        <f t="shared" si="4"/>
        <v>0</v>
      </c>
      <c r="O59" s="73">
        <f t="shared" si="4"/>
        <v>0</v>
      </c>
      <c r="P59" s="73">
        <f t="shared" si="4"/>
        <v>0</v>
      </c>
      <c r="Q59" s="73">
        <f t="shared" si="4"/>
        <v>0</v>
      </c>
      <c r="R59" s="88">
        <f t="shared" si="4"/>
        <v>0</v>
      </c>
      <c r="S59" s="72">
        <f t="shared" si="4"/>
        <v>0</v>
      </c>
      <c r="T59" s="73">
        <f t="shared" si="4"/>
        <v>0</v>
      </c>
      <c r="U59" s="73">
        <f t="shared" si="4"/>
        <v>0</v>
      </c>
      <c r="V59" s="73">
        <f t="shared" si="4"/>
        <v>0</v>
      </c>
      <c r="W59" s="73">
        <f t="shared" si="4"/>
        <v>0</v>
      </c>
      <c r="X59" s="73">
        <f t="shared" si="4"/>
        <v>0</v>
      </c>
      <c r="Y59" s="74">
        <f t="shared" si="4"/>
        <v>0</v>
      </c>
      <c r="AA59" s="30" t="s">
        <v>160</v>
      </c>
      <c r="AB59" s="59">
        <f>SUM(S59:S62)</f>
        <v>0</v>
      </c>
      <c r="AC59" s="30" t="s">
        <v>161</v>
      </c>
      <c r="AD59" s="59">
        <f>SUM(S72:S75)</f>
        <v>0</v>
      </c>
      <c r="AF59" s="20" t="s">
        <v>162</v>
      </c>
      <c r="AG59" s="21">
        <v>6002757</v>
      </c>
    </row>
    <row r="60" spans="1:33" ht="20.100000000000001" customHeight="1" x14ac:dyDescent="0.3">
      <c r="A60" s="385"/>
      <c r="B60" s="390"/>
      <c r="C60" s="398"/>
      <c r="D60" s="75" t="s">
        <v>94</v>
      </c>
      <c r="E60" s="78">
        <f t="shared" si="4"/>
        <v>0</v>
      </c>
      <c r="F60" s="79">
        <f t="shared" si="4"/>
        <v>0</v>
      </c>
      <c r="G60" s="79">
        <f t="shared" si="4"/>
        <v>0</v>
      </c>
      <c r="H60" s="79">
        <f t="shared" si="4"/>
        <v>0</v>
      </c>
      <c r="I60" s="79">
        <f t="shared" si="4"/>
        <v>0</v>
      </c>
      <c r="J60" s="79">
        <f t="shared" si="4"/>
        <v>0</v>
      </c>
      <c r="K60" s="89">
        <f t="shared" si="4"/>
        <v>0</v>
      </c>
      <c r="L60" s="78">
        <f t="shared" si="4"/>
        <v>0</v>
      </c>
      <c r="M60" s="79">
        <f t="shared" si="4"/>
        <v>0</v>
      </c>
      <c r="N60" s="79">
        <f t="shared" si="4"/>
        <v>0</v>
      </c>
      <c r="O60" s="79">
        <f t="shared" si="4"/>
        <v>0</v>
      </c>
      <c r="P60" s="79">
        <f t="shared" si="4"/>
        <v>0</v>
      </c>
      <c r="Q60" s="79">
        <f t="shared" si="4"/>
        <v>0</v>
      </c>
      <c r="R60" s="89">
        <f t="shared" si="4"/>
        <v>0</v>
      </c>
      <c r="S60" s="78">
        <f t="shared" si="4"/>
        <v>0</v>
      </c>
      <c r="T60" s="79">
        <f t="shared" si="4"/>
        <v>0</v>
      </c>
      <c r="U60" s="79">
        <f t="shared" si="4"/>
        <v>0</v>
      </c>
      <c r="V60" s="79">
        <f t="shared" si="4"/>
        <v>0</v>
      </c>
      <c r="W60" s="79">
        <f t="shared" si="4"/>
        <v>0</v>
      </c>
      <c r="X60" s="79">
        <f t="shared" si="4"/>
        <v>0</v>
      </c>
      <c r="Y60" s="80">
        <f t="shared" si="4"/>
        <v>0</v>
      </c>
      <c r="AA60" s="30" t="s">
        <v>163</v>
      </c>
      <c r="AB60" s="59">
        <f>SUM(T59:T62)</f>
        <v>0</v>
      </c>
      <c r="AC60" s="30" t="s">
        <v>164</v>
      </c>
      <c r="AD60" s="59">
        <f>SUM(T72:T75)</f>
        <v>0</v>
      </c>
      <c r="AF60" s="20" t="s">
        <v>165</v>
      </c>
      <c r="AG60" s="21">
        <v>6103650</v>
      </c>
    </row>
    <row r="61" spans="1:33" ht="20.100000000000001" customHeight="1" x14ac:dyDescent="0.3">
      <c r="A61" s="385"/>
      <c r="B61" s="390"/>
      <c r="C61" s="399" t="s">
        <v>23</v>
      </c>
      <c r="D61" s="81" t="s">
        <v>93</v>
      </c>
      <c r="E61" s="78">
        <f t="shared" si="4"/>
        <v>0</v>
      </c>
      <c r="F61" s="79">
        <f t="shared" si="4"/>
        <v>0</v>
      </c>
      <c r="G61" s="79">
        <f t="shared" si="4"/>
        <v>0</v>
      </c>
      <c r="H61" s="79">
        <f t="shared" si="4"/>
        <v>0</v>
      </c>
      <c r="I61" s="79">
        <f t="shared" si="4"/>
        <v>0</v>
      </c>
      <c r="J61" s="79">
        <f t="shared" si="4"/>
        <v>0</v>
      </c>
      <c r="K61" s="89">
        <f t="shared" si="4"/>
        <v>0</v>
      </c>
      <c r="L61" s="78">
        <f t="shared" si="4"/>
        <v>0</v>
      </c>
      <c r="M61" s="79">
        <f t="shared" si="4"/>
        <v>0</v>
      </c>
      <c r="N61" s="79">
        <f t="shared" si="4"/>
        <v>0</v>
      </c>
      <c r="O61" s="79">
        <f t="shared" si="4"/>
        <v>0</v>
      </c>
      <c r="P61" s="79">
        <f t="shared" si="4"/>
        <v>0</v>
      </c>
      <c r="Q61" s="79">
        <f t="shared" si="4"/>
        <v>0</v>
      </c>
      <c r="R61" s="89">
        <f t="shared" si="4"/>
        <v>0</v>
      </c>
      <c r="S61" s="78">
        <f t="shared" si="4"/>
        <v>0</v>
      </c>
      <c r="T61" s="79">
        <f t="shared" si="4"/>
        <v>0</v>
      </c>
      <c r="U61" s="79">
        <f t="shared" si="4"/>
        <v>0</v>
      </c>
      <c r="V61" s="79">
        <f t="shared" si="4"/>
        <v>0</v>
      </c>
      <c r="W61" s="79">
        <f t="shared" si="4"/>
        <v>0</v>
      </c>
      <c r="X61" s="79">
        <f t="shared" si="4"/>
        <v>0</v>
      </c>
      <c r="Y61" s="80">
        <f t="shared" si="4"/>
        <v>0</v>
      </c>
      <c r="AA61" s="30" t="s">
        <v>166</v>
      </c>
      <c r="AB61" s="59">
        <f>SUM(U59:U62)</f>
        <v>0</v>
      </c>
      <c r="AC61" s="30" t="s">
        <v>167</v>
      </c>
      <c r="AD61" s="59">
        <f>SUM(U72:U75)</f>
        <v>0</v>
      </c>
      <c r="AF61" s="20" t="s">
        <v>168</v>
      </c>
      <c r="AG61" s="21">
        <v>5160650</v>
      </c>
    </row>
    <row r="62" spans="1:33" ht="20.100000000000001" customHeight="1" thickBot="1" x14ac:dyDescent="0.35">
      <c r="A62" s="386"/>
      <c r="B62" s="391"/>
      <c r="C62" s="391"/>
      <c r="D62" s="82" t="s">
        <v>94</v>
      </c>
      <c r="E62" s="90">
        <f t="shared" si="4"/>
        <v>0</v>
      </c>
      <c r="F62" s="91">
        <f t="shared" si="4"/>
        <v>0</v>
      </c>
      <c r="G62" s="91">
        <f t="shared" si="4"/>
        <v>0</v>
      </c>
      <c r="H62" s="91">
        <f t="shared" si="4"/>
        <v>0</v>
      </c>
      <c r="I62" s="91">
        <f t="shared" si="4"/>
        <v>0</v>
      </c>
      <c r="J62" s="91">
        <f t="shared" si="4"/>
        <v>0</v>
      </c>
      <c r="K62" s="92">
        <f t="shared" si="4"/>
        <v>0</v>
      </c>
      <c r="L62" s="90">
        <f t="shared" si="4"/>
        <v>0</v>
      </c>
      <c r="M62" s="91">
        <f t="shared" si="4"/>
        <v>0</v>
      </c>
      <c r="N62" s="91">
        <f t="shared" si="4"/>
        <v>0</v>
      </c>
      <c r="O62" s="91">
        <f t="shared" si="4"/>
        <v>0</v>
      </c>
      <c r="P62" s="91">
        <f t="shared" si="4"/>
        <v>0</v>
      </c>
      <c r="Q62" s="91">
        <f t="shared" si="4"/>
        <v>0</v>
      </c>
      <c r="R62" s="92">
        <f t="shared" si="4"/>
        <v>0</v>
      </c>
      <c r="S62" s="90">
        <f t="shared" si="4"/>
        <v>0</v>
      </c>
      <c r="T62" s="91">
        <f t="shared" si="4"/>
        <v>0</v>
      </c>
      <c r="U62" s="91">
        <f t="shared" si="4"/>
        <v>0</v>
      </c>
      <c r="V62" s="91">
        <f t="shared" si="4"/>
        <v>0</v>
      </c>
      <c r="W62" s="91">
        <f t="shared" si="4"/>
        <v>0</v>
      </c>
      <c r="X62" s="91">
        <f t="shared" si="4"/>
        <v>0</v>
      </c>
      <c r="Y62" s="93">
        <f t="shared" si="4"/>
        <v>0</v>
      </c>
      <c r="AA62" s="30" t="s">
        <v>169</v>
      </c>
      <c r="AB62" s="59">
        <f>SUM(V59:V62)</f>
        <v>0</v>
      </c>
      <c r="AC62" s="30" t="s">
        <v>170</v>
      </c>
      <c r="AD62" s="59">
        <f>SUM(V72:V75)</f>
        <v>0</v>
      </c>
      <c r="AF62" s="20" t="s">
        <v>171</v>
      </c>
      <c r="AG62" s="21">
        <v>5560853</v>
      </c>
    </row>
    <row r="63" spans="1:33" ht="15" customHeight="1" thickBot="1" x14ac:dyDescent="0.35">
      <c r="A63" s="94"/>
      <c r="B63" s="95"/>
      <c r="C63" s="96"/>
      <c r="D63" s="97"/>
      <c r="E63" s="98"/>
      <c r="F63" s="99"/>
      <c r="G63" s="99"/>
      <c r="H63" s="99"/>
      <c r="I63" s="99"/>
      <c r="J63" s="99"/>
      <c r="K63" s="100"/>
      <c r="L63" s="98"/>
      <c r="M63" s="99"/>
      <c r="N63" s="99"/>
      <c r="O63" s="99"/>
      <c r="P63" s="99"/>
      <c r="Q63" s="99"/>
      <c r="R63" s="100"/>
      <c r="S63" s="14"/>
      <c r="T63" s="99"/>
      <c r="U63" s="99"/>
      <c r="V63" s="99"/>
      <c r="W63" s="99"/>
      <c r="X63" s="99"/>
      <c r="Y63" s="98"/>
      <c r="AA63" s="30"/>
      <c r="AB63" s="59"/>
      <c r="AF63" s="20"/>
      <c r="AG63" s="21"/>
    </row>
    <row r="64" spans="1:33" ht="20.100000000000001" customHeight="1" x14ac:dyDescent="0.3">
      <c r="A64" s="384" t="s">
        <v>90</v>
      </c>
      <c r="B64" s="389" t="s">
        <v>21</v>
      </c>
      <c r="C64" s="397" t="s">
        <v>20</v>
      </c>
      <c r="D64" s="101" t="s">
        <v>93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>
        <f t="shared" ref="S64:Y71" si="5">E64+L64</f>
        <v>0</v>
      </c>
      <c r="T64" s="73">
        <f t="shared" si="5"/>
        <v>0</v>
      </c>
      <c r="U64" s="73">
        <f t="shared" si="5"/>
        <v>0</v>
      </c>
      <c r="V64" s="73">
        <f t="shared" si="5"/>
        <v>0</v>
      </c>
      <c r="W64" s="73">
        <f t="shared" si="5"/>
        <v>0</v>
      </c>
      <c r="X64" s="73">
        <f t="shared" si="5"/>
        <v>0</v>
      </c>
      <c r="Y64" s="74">
        <f t="shared" si="5"/>
        <v>0</v>
      </c>
      <c r="AA64" s="30" t="s">
        <v>172</v>
      </c>
      <c r="AB64" s="59">
        <f>SUM(W59:W62)</f>
        <v>0</v>
      </c>
      <c r="AC64" s="30" t="s">
        <v>173</v>
      </c>
      <c r="AD64" s="59">
        <f>SUM(W72:W75)</f>
        <v>0</v>
      </c>
      <c r="AF64" s="20"/>
      <c r="AG64" s="21"/>
    </row>
    <row r="65" spans="1:33" ht="20.100000000000001" customHeight="1" x14ac:dyDescent="0.3">
      <c r="A65" s="385"/>
      <c r="B65" s="390"/>
      <c r="C65" s="398"/>
      <c r="D65" s="102" t="s">
        <v>94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7"/>
      <c r="S65" s="78">
        <f t="shared" si="5"/>
        <v>0</v>
      </c>
      <c r="T65" s="79">
        <f t="shared" si="5"/>
        <v>0</v>
      </c>
      <c r="U65" s="79">
        <f t="shared" si="5"/>
        <v>0</v>
      </c>
      <c r="V65" s="79">
        <f t="shared" si="5"/>
        <v>0</v>
      </c>
      <c r="W65" s="79">
        <f t="shared" si="5"/>
        <v>0</v>
      </c>
      <c r="X65" s="79">
        <f t="shared" si="5"/>
        <v>0</v>
      </c>
      <c r="Y65" s="80">
        <f t="shared" si="5"/>
        <v>0</v>
      </c>
      <c r="AA65" s="30" t="s">
        <v>174</v>
      </c>
      <c r="AB65" s="59">
        <f>SUM(X59:X62)</f>
        <v>0</v>
      </c>
      <c r="AC65" s="30" t="s">
        <v>175</v>
      </c>
      <c r="AD65" s="59">
        <f>SUM(X72:X75)</f>
        <v>0</v>
      </c>
      <c r="AF65" s="20"/>
      <c r="AG65" s="21"/>
    </row>
    <row r="66" spans="1:33" ht="20.100000000000001" customHeight="1" thickBot="1" x14ac:dyDescent="0.35">
      <c r="A66" s="385"/>
      <c r="B66" s="390"/>
      <c r="C66" s="399" t="s">
        <v>23</v>
      </c>
      <c r="D66" s="103" t="s">
        <v>93</v>
      </c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7"/>
      <c r="S66" s="78">
        <f t="shared" si="5"/>
        <v>0</v>
      </c>
      <c r="T66" s="79">
        <f t="shared" si="5"/>
        <v>0</v>
      </c>
      <c r="U66" s="79">
        <f t="shared" si="5"/>
        <v>0</v>
      </c>
      <c r="V66" s="79">
        <f t="shared" si="5"/>
        <v>0</v>
      </c>
      <c r="W66" s="79">
        <f t="shared" si="5"/>
        <v>0</v>
      </c>
      <c r="X66" s="79">
        <f t="shared" si="5"/>
        <v>0</v>
      </c>
      <c r="Y66" s="80">
        <f t="shared" si="5"/>
        <v>0</v>
      </c>
      <c r="AA66" s="42" t="s">
        <v>176</v>
      </c>
      <c r="AB66" s="43">
        <f>SUM(Y59:Y62)</f>
        <v>0</v>
      </c>
      <c r="AC66" s="42" t="s">
        <v>177</v>
      </c>
      <c r="AD66" s="104">
        <f>SUM(Y72:Y75)</f>
        <v>0</v>
      </c>
      <c r="AF66" s="20"/>
      <c r="AG66" s="21"/>
    </row>
    <row r="67" spans="1:33" ht="20.100000000000001" customHeight="1" thickBot="1" x14ac:dyDescent="0.35">
      <c r="A67" s="385"/>
      <c r="B67" s="391"/>
      <c r="C67" s="391"/>
      <c r="D67" s="105" t="s">
        <v>94</v>
      </c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4">
        <f t="shared" si="5"/>
        <v>0</v>
      </c>
      <c r="T67" s="85">
        <f t="shared" si="5"/>
        <v>0</v>
      </c>
      <c r="U67" s="85">
        <f t="shared" si="5"/>
        <v>0</v>
      </c>
      <c r="V67" s="85">
        <f t="shared" si="5"/>
        <v>0</v>
      </c>
      <c r="W67" s="85">
        <f t="shared" si="5"/>
        <v>0</v>
      </c>
      <c r="X67" s="85">
        <f t="shared" si="5"/>
        <v>0</v>
      </c>
      <c r="Y67" s="86">
        <f t="shared" si="5"/>
        <v>0</v>
      </c>
      <c r="AA67" s="24"/>
      <c r="AB67" s="24"/>
      <c r="AF67" s="20"/>
      <c r="AG67" s="21"/>
    </row>
    <row r="68" spans="1:33" ht="20.100000000000001" customHeight="1" x14ac:dyDescent="0.3">
      <c r="A68" s="385"/>
      <c r="B68" s="389" t="s">
        <v>24</v>
      </c>
      <c r="C68" s="397" t="s">
        <v>20</v>
      </c>
      <c r="D68" s="106" t="s">
        <v>93</v>
      </c>
      <c r="E68" s="70"/>
      <c r="F68" s="71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72">
        <f t="shared" si="5"/>
        <v>0</v>
      </c>
      <c r="T68" s="73">
        <f t="shared" si="5"/>
        <v>0</v>
      </c>
      <c r="U68" s="73">
        <f t="shared" si="5"/>
        <v>0</v>
      </c>
      <c r="V68" s="73">
        <f t="shared" si="5"/>
        <v>0</v>
      </c>
      <c r="W68" s="73">
        <f t="shared" si="5"/>
        <v>0</v>
      </c>
      <c r="X68" s="73">
        <f t="shared" si="5"/>
        <v>0</v>
      </c>
      <c r="Y68" s="74">
        <f t="shared" si="5"/>
        <v>0</v>
      </c>
      <c r="AA68" s="26"/>
      <c r="AB68" s="26"/>
      <c r="AF68" s="20"/>
      <c r="AG68" s="21"/>
    </row>
    <row r="69" spans="1:33" ht="20.100000000000001" customHeight="1" x14ac:dyDescent="0.3">
      <c r="A69" s="385"/>
      <c r="B69" s="390"/>
      <c r="C69" s="398"/>
      <c r="D69" s="102" t="s">
        <v>94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7"/>
      <c r="S69" s="78">
        <f t="shared" si="5"/>
        <v>0</v>
      </c>
      <c r="T69" s="79">
        <f t="shared" si="5"/>
        <v>0</v>
      </c>
      <c r="U69" s="79">
        <f t="shared" si="5"/>
        <v>0</v>
      </c>
      <c r="V69" s="79">
        <f t="shared" si="5"/>
        <v>0</v>
      </c>
      <c r="W69" s="79">
        <f t="shared" si="5"/>
        <v>0</v>
      </c>
      <c r="X69" s="79">
        <f t="shared" si="5"/>
        <v>0</v>
      </c>
      <c r="Y69" s="80">
        <f t="shared" si="5"/>
        <v>0</v>
      </c>
      <c r="AA69" s="26"/>
      <c r="AB69" s="26"/>
      <c r="AF69" s="20"/>
      <c r="AG69" s="21"/>
    </row>
    <row r="70" spans="1:33" ht="20.100000000000001" customHeight="1" x14ac:dyDescent="0.3">
      <c r="A70" s="385"/>
      <c r="B70" s="390"/>
      <c r="C70" s="399" t="s">
        <v>23</v>
      </c>
      <c r="D70" s="103" t="s">
        <v>93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7"/>
      <c r="Q70" s="76"/>
      <c r="R70" s="77"/>
      <c r="S70" s="78">
        <f t="shared" si="5"/>
        <v>0</v>
      </c>
      <c r="T70" s="79">
        <f t="shared" si="5"/>
        <v>0</v>
      </c>
      <c r="U70" s="79">
        <f t="shared" si="5"/>
        <v>0</v>
      </c>
      <c r="V70" s="79">
        <f t="shared" si="5"/>
        <v>0</v>
      </c>
      <c r="W70" s="79">
        <f t="shared" si="5"/>
        <v>0</v>
      </c>
      <c r="X70" s="79">
        <f t="shared" si="5"/>
        <v>0</v>
      </c>
      <c r="Y70" s="80">
        <f t="shared" si="5"/>
        <v>0</v>
      </c>
      <c r="AA70" s="25"/>
      <c r="AB70" s="25"/>
      <c r="AF70" s="20"/>
      <c r="AG70" s="21"/>
    </row>
    <row r="71" spans="1:33" ht="20.100000000000001" customHeight="1" thickBot="1" x14ac:dyDescent="0.35">
      <c r="A71" s="385"/>
      <c r="B71" s="391"/>
      <c r="C71" s="391"/>
      <c r="D71" s="107" t="s">
        <v>94</v>
      </c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4">
        <f t="shared" si="5"/>
        <v>0</v>
      </c>
      <c r="T71" s="85">
        <f t="shared" si="5"/>
        <v>0</v>
      </c>
      <c r="U71" s="85">
        <f t="shared" si="5"/>
        <v>0</v>
      </c>
      <c r="V71" s="85">
        <f t="shared" si="5"/>
        <v>0</v>
      </c>
      <c r="W71" s="85">
        <f t="shared" si="5"/>
        <v>0</v>
      </c>
      <c r="X71" s="85">
        <f t="shared" si="5"/>
        <v>0</v>
      </c>
      <c r="Y71" s="86">
        <f t="shared" si="5"/>
        <v>0</v>
      </c>
      <c r="AA71" s="25"/>
      <c r="AB71" s="25"/>
      <c r="AF71" s="20"/>
      <c r="AG71" s="21"/>
    </row>
    <row r="72" spans="1:33" ht="20.100000000000001" customHeight="1" x14ac:dyDescent="0.3">
      <c r="A72" s="385"/>
      <c r="B72" s="389" t="s">
        <v>16</v>
      </c>
      <c r="C72" s="397" t="s">
        <v>20</v>
      </c>
      <c r="D72" s="106" t="s">
        <v>93</v>
      </c>
      <c r="E72" s="72">
        <f t="shared" ref="E72:R72" si="6">E64+E68</f>
        <v>0</v>
      </c>
      <c r="F72" s="73">
        <f t="shared" si="6"/>
        <v>0</v>
      </c>
      <c r="G72" s="73">
        <f t="shared" si="6"/>
        <v>0</v>
      </c>
      <c r="H72" s="73">
        <f t="shared" si="6"/>
        <v>0</v>
      </c>
      <c r="I72" s="73">
        <f t="shared" si="6"/>
        <v>0</v>
      </c>
      <c r="J72" s="73">
        <f t="shared" si="6"/>
        <v>0</v>
      </c>
      <c r="K72" s="88">
        <f t="shared" si="6"/>
        <v>0</v>
      </c>
      <c r="L72" s="72">
        <f t="shared" si="6"/>
        <v>0</v>
      </c>
      <c r="M72" s="73">
        <f t="shared" si="6"/>
        <v>0</v>
      </c>
      <c r="N72" s="73">
        <f t="shared" si="6"/>
        <v>0</v>
      </c>
      <c r="O72" s="73">
        <f t="shared" si="6"/>
        <v>0</v>
      </c>
      <c r="P72" s="73">
        <f t="shared" si="6"/>
        <v>0</v>
      </c>
      <c r="Q72" s="73">
        <f t="shared" si="6"/>
        <v>0</v>
      </c>
      <c r="R72" s="88">
        <f t="shared" si="6"/>
        <v>0</v>
      </c>
      <c r="S72" s="72">
        <f t="shared" ref="S72:Y75" si="7">S64+S68</f>
        <v>0</v>
      </c>
      <c r="T72" s="73">
        <f t="shared" si="7"/>
        <v>0</v>
      </c>
      <c r="U72" s="73">
        <f t="shared" si="7"/>
        <v>0</v>
      </c>
      <c r="V72" s="73">
        <f t="shared" si="7"/>
        <v>0</v>
      </c>
      <c r="W72" s="73">
        <f t="shared" si="7"/>
        <v>0</v>
      </c>
      <c r="X72" s="73">
        <f t="shared" si="7"/>
        <v>0</v>
      </c>
      <c r="Y72" s="74">
        <f t="shared" si="7"/>
        <v>0</v>
      </c>
      <c r="AA72" s="25"/>
      <c r="AB72" s="25"/>
      <c r="AF72" s="20"/>
      <c r="AG72" s="21"/>
    </row>
    <row r="73" spans="1:33" ht="20.100000000000001" customHeight="1" x14ac:dyDescent="0.3">
      <c r="A73" s="385"/>
      <c r="B73" s="390"/>
      <c r="C73" s="398"/>
      <c r="D73" s="102" t="s">
        <v>94</v>
      </c>
      <c r="E73" s="78">
        <f t="shared" ref="E73:R73" si="8">E65+E69</f>
        <v>0</v>
      </c>
      <c r="F73" s="79">
        <f t="shared" si="8"/>
        <v>0</v>
      </c>
      <c r="G73" s="79">
        <f t="shared" si="8"/>
        <v>0</v>
      </c>
      <c r="H73" s="79">
        <f t="shared" si="8"/>
        <v>0</v>
      </c>
      <c r="I73" s="79">
        <f t="shared" si="8"/>
        <v>0</v>
      </c>
      <c r="J73" s="79">
        <f t="shared" si="8"/>
        <v>0</v>
      </c>
      <c r="K73" s="89">
        <f t="shared" si="8"/>
        <v>0</v>
      </c>
      <c r="L73" s="78">
        <f t="shared" si="8"/>
        <v>0</v>
      </c>
      <c r="M73" s="79">
        <f t="shared" si="8"/>
        <v>0</v>
      </c>
      <c r="N73" s="79">
        <f t="shared" si="8"/>
        <v>0</v>
      </c>
      <c r="O73" s="79">
        <f t="shared" si="8"/>
        <v>0</v>
      </c>
      <c r="P73" s="79">
        <f t="shared" si="8"/>
        <v>0</v>
      </c>
      <c r="Q73" s="79">
        <f t="shared" si="8"/>
        <v>0</v>
      </c>
      <c r="R73" s="89">
        <f t="shared" si="8"/>
        <v>0</v>
      </c>
      <c r="S73" s="78">
        <f t="shared" si="7"/>
        <v>0</v>
      </c>
      <c r="T73" s="79">
        <f t="shared" si="7"/>
        <v>0</v>
      </c>
      <c r="U73" s="79">
        <f t="shared" si="7"/>
        <v>0</v>
      </c>
      <c r="V73" s="79">
        <f t="shared" si="7"/>
        <v>0</v>
      </c>
      <c r="W73" s="79">
        <f t="shared" si="7"/>
        <v>0</v>
      </c>
      <c r="X73" s="79">
        <f t="shared" si="7"/>
        <v>0</v>
      </c>
      <c r="Y73" s="80">
        <f t="shared" si="7"/>
        <v>0</v>
      </c>
      <c r="AA73" s="25"/>
      <c r="AB73" s="25"/>
      <c r="AF73" s="20"/>
      <c r="AG73" s="21"/>
    </row>
    <row r="74" spans="1:33" ht="20.100000000000001" customHeight="1" x14ac:dyDescent="0.3">
      <c r="A74" s="385"/>
      <c r="B74" s="390"/>
      <c r="C74" s="399" t="s">
        <v>23</v>
      </c>
      <c r="D74" s="103" t="s">
        <v>93</v>
      </c>
      <c r="E74" s="78">
        <f t="shared" ref="E74:R74" si="9">E66+E70</f>
        <v>0</v>
      </c>
      <c r="F74" s="79">
        <f t="shared" si="9"/>
        <v>0</v>
      </c>
      <c r="G74" s="79">
        <f t="shared" si="9"/>
        <v>0</v>
      </c>
      <c r="H74" s="79">
        <f t="shared" si="9"/>
        <v>0</v>
      </c>
      <c r="I74" s="79">
        <f t="shared" si="9"/>
        <v>0</v>
      </c>
      <c r="J74" s="79">
        <f t="shared" si="9"/>
        <v>0</v>
      </c>
      <c r="K74" s="89">
        <f t="shared" si="9"/>
        <v>0</v>
      </c>
      <c r="L74" s="78">
        <f t="shared" si="9"/>
        <v>0</v>
      </c>
      <c r="M74" s="79">
        <f t="shared" si="9"/>
        <v>0</v>
      </c>
      <c r="N74" s="79">
        <f t="shared" si="9"/>
        <v>0</v>
      </c>
      <c r="O74" s="79">
        <f t="shared" si="9"/>
        <v>0</v>
      </c>
      <c r="P74" s="79">
        <f t="shared" si="9"/>
        <v>0</v>
      </c>
      <c r="Q74" s="79">
        <f t="shared" si="9"/>
        <v>0</v>
      </c>
      <c r="R74" s="89">
        <f t="shared" si="9"/>
        <v>0</v>
      </c>
      <c r="S74" s="78">
        <f t="shared" si="7"/>
        <v>0</v>
      </c>
      <c r="T74" s="79">
        <f t="shared" si="7"/>
        <v>0</v>
      </c>
      <c r="U74" s="79">
        <f t="shared" si="7"/>
        <v>0</v>
      </c>
      <c r="V74" s="79">
        <f t="shared" si="7"/>
        <v>0</v>
      </c>
      <c r="W74" s="79">
        <f t="shared" si="7"/>
        <v>0</v>
      </c>
      <c r="X74" s="79">
        <f t="shared" si="7"/>
        <v>0</v>
      </c>
      <c r="Y74" s="80">
        <f t="shared" si="7"/>
        <v>0</v>
      </c>
      <c r="AA74" s="25"/>
      <c r="AB74" s="25"/>
      <c r="AF74" s="20"/>
      <c r="AG74" s="21"/>
    </row>
    <row r="75" spans="1:33" ht="20.100000000000001" customHeight="1" thickBot="1" x14ac:dyDescent="0.35">
      <c r="A75" s="386"/>
      <c r="B75" s="391"/>
      <c r="C75" s="391"/>
      <c r="D75" s="105" t="s">
        <v>94</v>
      </c>
      <c r="E75" s="90">
        <f t="shared" ref="E75:R75" si="10">E67+E71</f>
        <v>0</v>
      </c>
      <c r="F75" s="91">
        <f t="shared" si="10"/>
        <v>0</v>
      </c>
      <c r="G75" s="91">
        <f t="shared" si="10"/>
        <v>0</v>
      </c>
      <c r="H75" s="91">
        <f t="shared" si="10"/>
        <v>0</v>
      </c>
      <c r="I75" s="91">
        <f t="shared" si="10"/>
        <v>0</v>
      </c>
      <c r="J75" s="91">
        <f t="shared" si="10"/>
        <v>0</v>
      </c>
      <c r="K75" s="92">
        <f t="shared" si="10"/>
        <v>0</v>
      </c>
      <c r="L75" s="90">
        <f t="shared" si="10"/>
        <v>0</v>
      </c>
      <c r="M75" s="91">
        <f t="shared" si="10"/>
        <v>0</v>
      </c>
      <c r="N75" s="91">
        <f t="shared" si="10"/>
        <v>0</v>
      </c>
      <c r="O75" s="91">
        <f t="shared" si="10"/>
        <v>0</v>
      </c>
      <c r="P75" s="91">
        <f t="shared" si="10"/>
        <v>0</v>
      </c>
      <c r="Q75" s="91">
        <f t="shared" si="10"/>
        <v>0</v>
      </c>
      <c r="R75" s="92">
        <f t="shared" si="10"/>
        <v>0</v>
      </c>
      <c r="S75" s="90">
        <f t="shared" si="7"/>
        <v>0</v>
      </c>
      <c r="T75" s="91">
        <f t="shared" si="7"/>
        <v>0</v>
      </c>
      <c r="U75" s="91">
        <f t="shared" si="7"/>
        <v>0</v>
      </c>
      <c r="V75" s="91">
        <f t="shared" si="7"/>
        <v>0</v>
      </c>
      <c r="W75" s="91">
        <f t="shared" si="7"/>
        <v>0</v>
      </c>
      <c r="X75" s="91">
        <f t="shared" si="7"/>
        <v>0</v>
      </c>
      <c r="Y75" s="93">
        <f t="shared" si="7"/>
        <v>0</v>
      </c>
      <c r="AA75" s="25"/>
      <c r="AB75" s="25"/>
    </row>
    <row r="76" spans="1:33" ht="15" customHeight="1" x14ac:dyDescent="0.3">
      <c r="A76" s="2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AA76" s="25"/>
      <c r="AB76" s="25"/>
    </row>
    <row r="77" spans="1:33" ht="14.25" customHeight="1" x14ac:dyDescent="0.3">
      <c r="A77" s="2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AA77" s="25"/>
      <c r="AB77" s="25"/>
    </row>
    <row r="78" spans="1:33" ht="13.5" customHeight="1" thickBot="1" x14ac:dyDescent="0.35">
      <c r="A78" s="2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AA78" s="25"/>
      <c r="AB78" s="25"/>
    </row>
    <row r="79" spans="1:33" ht="15" customHeight="1" thickBot="1" x14ac:dyDescent="0.35">
      <c r="A79" s="395" t="s">
        <v>178</v>
      </c>
      <c r="B79" s="415" t="s">
        <v>118</v>
      </c>
      <c r="C79" s="415" t="s">
        <v>119</v>
      </c>
      <c r="D79" s="415" t="s">
        <v>75</v>
      </c>
      <c r="E79" s="408" t="s">
        <v>179</v>
      </c>
      <c r="F79" s="409"/>
      <c r="G79" s="409"/>
      <c r="H79" s="409"/>
      <c r="I79" s="409"/>
      <c r="J79" s="409"/>
      <c r="K79" s="410"/>
      <c r="L79" s="408" t="s">
        <v>180</v>
      </c>
      <c r="M79" s="409"/>
      <c r="N79" s="409"/>
      <c r="O79" s="409"/>
      <c r="P79" s="409"/>
      <c r="Q79" s="409"/>
      <c r="R79" s="410"/>
      <c r="S79" s="408" t="s">
        <v>16</v>
      </c>
      <c r="T79" s="411"/>
      <c r="U79" s="411"/>
      <c r="V79" s="411"/>
      <c r="W79" s="411"/>
      <c r="X79" s="411"/>
      <c r="Y79" s="412"/>
      <c r="AA79" s="418" t="s">
        <v>181</v>
      </c>
      <c r="AB79" s="419"/>
      <c r="AC79" s="420"/>
      <c r="AD79" s="421"/>
    </row>
    <row r="80" spans="1:33" ht="19.05" customHeight="1" thickBot="1" x14ac:dyDescent="0.35">
      <c r="A80" s="413"/>
      <c r="B80" s="416"/>
      <c r="C80" s="416"/>
      <c r="D80" s="416"/>
      <c r="E80" s="422" t="s">
        <v>126</v>
      </c>
      <c r="F80" s="423"/>
      <c r="G80" s="423"/>
      <c r="H80" s="423"/>
      <c r="I80" s="423"/>
      <c r="J80" s="423"/>
      <c r="K80" s="424"/>
      <c r="L80" s="422" t="s">
        <v>126</v>
      </c>
      <c r="M80" s="423"/>
      <c r="N80" s="423"/>
      <c r="O80" s="423"/>
      <c r="P80" s="423"/>
      <c r="Q80" s="423"/>
      <c r="R80" s="424"/>
      <c r="S80" s="422" t="s">
        <v>126</v>
      </c>
      <c r="T80" s="425"/>
      <c r="U80" s="425"/>
      <c r="V80" s="425"/>
      <c r="W80" s="425"/>
      <c r="X80" s="425"/>
      <c r="Y80" s="426"/>
      <c r="AA80" s="57" t="s">
        <v>14</v>
      </c>
      <c r="AB80" s="108">
        <f>SUM(S90:Y93)</f>
        <v>0</v>
      </c>
      <c r="AC80" s="57" t="s">
        <v>90</v>
      </c>
      <c r="AD80" s="58">
        <f>SUM(S103:Y106)</f>
        <v>0</v>
      </c>
    </row>
    <row r="81" spans="1:30" ht="60.75" customHeight="1" thickBot="1" x14ac:dyDescent="0.35">
      <c r="A81" s="414"/>
      <c r="B81" s="417"/>
      <c r="C81" s="417"/>
      <c r="D81" s="417"/>
      <c r="E81" s="109" t="s">
        <v>182</v>
      </c>
      <c r="F81" s="110" t="s">
        <v>130</v>
      </c>
      <c r="G81" s="110" t="s">
        <v>131</v>
      </c>
      <c r="H81" s="110" t="s">
        <v>132</v>
      </c>
      <c r="I81" s="110" t="s">
        <v>133</v>
      </c>
      <c r="J81" s="110" t="s">
        <v>136</v>
      </c>
      <c r="K81" s="111" t="s">
        <v>137</v>
      </c>
      <c r="L81" s="109" t="s">
        <v>182</v>
      </c>
      <c r="M81" s="110" t="s">
        <v>130</v>
      </c>
      <c r="N81" s="110" t="s">
        <v>131</v>
      </c>
      <c r="O81" s="110" t="s">
        <v>132</v>
      </c>
      <c r="P81" s="110" t="s">
        <v>133</v>
      </c>
      <c r="Q81" s="112" t="s">
        <v>136</v>
      </c>
      <c r="R81" s="113" t="s">
        <v>137</v>
      </c>
      <c r="S81" s="109" t="s">
        <v>182</v>
      </c>
      <c r="T81" s="110" t="s">
        <v>130</v>
      </c>
      <c r="U81" s="110" t="s">
        <v>131</v>
      </c>
      <c r="V81" s="110" t="s">
        <v>132</v>
      </c>
      <c r="W81" s="110" t="s">
        <v>133</v>
      </c>
      <c r="X81" s="110" t="s">
        <v>136</v>
      </c>
      <c r="Y81" s="114" t="s">
        <v>137</v>
      </c>
      <c r="AA81" s="115" t="s">
        <v>80</v>
      </c>
      <c r="AB81" s="116">
        <f>SUM(S90:Y91)</f>
        <v>0</v>
      </c>
      <c r="AC81" s="60" t="s">
        <v>127</v>
      </c>
      <c r="AD81" s="31">
        <f>SUM(S103:Y104)</f>
        <v>0</v>
      </c>
    </row>
    <row r="82" spans="1:30" ht="20.100000000000001" customHeight="1" x14ac:dyDescent="0.3">
      <c r="A82" s="400" t="s">
        <v>14</v>
      </c>
      <c r="B82" s="402" t="s">
        <v>21</v>
      </c>
      <c r="C82" s="405" t="s">
        <v>20</v>
      </c>
      <c r="D82" s="117" t="s">
        <v>93</v>
      </c>
      <c r="E82" s="118"/>
      <c r="F82" s="118"/>
      <c r="G82" s="118"/>
      <c r="H82" s="118"/>
      <c r="I82" s="118"/>
      <c r="J82" s="118"/>
      <c r="K82" s="118"/>
      <c r="L82" s="70"/>
      <c r="M82" s="70"/>
      <c r="N82" s="70"/>
      <c r="O82" s="70"/>
      <c r="P82" s="70"/>
      <c r="Q82" s="70"/>
      <c r="R82" s="71"/>
      <c r="S82" s="119">
        <f t="shared" ref="S82:Y89" si="11">E82+L82</f>
        <v>0</v>
      </c>
      <c r="T82" s="120">
        <f t="shared" si="11"/>
        <v>0</v>
      </c>
      <c r="U82" s="120">
        <f t="shared" si="11"/>
        <v>0</v>
      </c>
      <c r="V82" s="120">
        <f t="shared" si="11"/>
        <v>0</v>
      </c>
      <c r="W82" s="120">
        <f t="shared" si="11"/>
        <v>0</v>
      </c>
      <c r="X82" s="120">
        <f t="shared" si="11"/>
        <v>0</v>
      </c>
      <c r="Y82" s="121">
        <f t="shared" si="11"/>
        <v>0</v>
      </c>
      <c r="AA82" s="60" t="s">
        <v>84</v>
      </c>
      <c r="AB82" s="122">
        <f>SUM(S92:Y93)</f>
        <v>0</v>
      </c>
      <c r="AC82" s="60" t="s">
        <v>144</v>
      </c>
      <c r="AD82" s="31">
        <f>SUM(S105:Y106)</f>
        <v>0</v>
      </c>
    </row>
    <row r="83" spans="1:30" ht="20.100000000000001" customHeight="1" x14ac:dyDescent="0.3">
      <c r="A83" s="400"/>
      <c r="B83" s="403"/>
      <c r="C83" s="406"/>
      <c r="D83" s="123" t="s">
        <v>94</v>
      </c>
      <c r="E83" s="118"/>
      <c r="F83" s="118"/>
      <c r="G83" s="118"/>
      <c r="H83" s="118"/>
      <c r="I83" s="118"/>
      <c r="J83" s="118"/>
      <c r="K83" s="118"/>
      <c r="L83" s="76"/>
      <c r="M83" s="76"/>
      <c r="N83" s="76"/>
      <c r="O83" s="76"/>
      <c r="P83" s="76"/>
      <c r="Q83" s="76"/>
      <c r="R83" s="77"/>
      <c r="S83" s="124">
        <f t="shared" si="11"/>
        <v>0</v>
      </c>
      <c r="T83" s="125">
        <f t="shared" si="11"/>
        <v>0</v>
      </c>
      <c r="U83" s="125">
        <f t="shared" si="11"/>
        <v>0</v>
      </c>
      <c r="V83" s="125">
        <f t="shared" si="11"/>
        <v>0</v>
      </c>
      <c r="W83" s="125">
        <f t="shared" si="11"/>
        <v>0</v>
      </c>
      <c r="X83" s="125">
        <f t="shared" si="11"/>
        <v>0</v>
      </c>
      <c r="Y83" s="126">
        <f t="shared" si="11"/>
        <v>0</v>
      </c>
      <c r="AA83" s="30" t="s">
        <v>152</v>
      </c>
      <c r="AB83" s="127">
        <f>SUM(S82:Y85)</f>
        <v>0</v>
      </c>
      <c r="AC83" s="30" t="s">
        <v>153</v>
      </c>
      <c r="AD83" s="59">
        <f>SUM(S95:Y98)</f>
        <v>0</v>
      </c>
    </row>
    <row r="84" spans="1:30" ht="20.100000000000001" customHeight="1" x14ac:dyDescent="0.3">
      <c r="A84" s="400"/>
      <c r="B84" s="403"/>
      <c r="C84" s="399" t="s">
        <v>23</v>
      </c>
      <c r="D84" s="128" t="s">
        <v>93</v>
      </c>
      <c r="E84" s="118"/>
      <c r="F84" s="118"/>
      <c r="G84" s="118"/>
      <c r="H84" s="118"/>
      <c r="I84" s="118"/>
      <c r="J84" s="118"/>
      <c r="K84" s="118"/>
      <c r="L84" s="76"/>
      <c r="M84" s="76"/>
      <c r="N84" s="76"/>
      <c r="O84" s="76"/>
      <c r="P84" s="76"/>
      <c r="Q84" s="76"/>
      <c r="R84" s="77"/>
      <c r="S84" s="124">
        <f t="shared" si="11"/>
        <v>0</v>
      </c>
      <c r="T84" s="125">
        <f t="shared" si="11"/>
        <v>0</v>
      </c>
      <c r="U84" s="125">
        <f t="shared" si="11"/>
        <v>0</v>
      </c>
      <c r="V84" s="125">
        <f t="shared" si="11"/>
        <v>0</v>
      </c>
      <c r="W84" s="125">
        <f t="shared" si="11"/>
        <v>0</v>
      </c>
      <c r="X84" s="125">
        <f t="shared" si="11"/>
        <v>0</v>
      </c>
      <c r="Y84" s="126">
        <f t="shared" si="11"/>
        <v>0</v>
      </c>
      <c r="AA84" s="30" t="s">
        <v>155</v>
      </c>
      <c r="AB84" s="127">
        <f>SUM(S86:Y89)</f>
        <v>0</v>
      </c>
      <c r="AC84" s="30" t="s">
        <v>156</v>
      </c>
      <c r="AD84" s="59">
        <f>SUM(S99:Y102)</f>
        <v>0</v>
      </c>
    </row>
    <row r="85" spans="1:30" ht="20.100000000000001" customHeight="1" thickBot="1" x14ac:dyDescent="0.35">
      <c r="A85" s="400"/>
      <c r="B85" s="404"/>
      <c r="C85" s="404"/>
      <c r="D85" s="129" t="s">
        <v>94</v>
      </c>
      <c r="E85" s="130"/>
      <c r="F85" s="130"/>
      <c r="G85" s="130"/>
      <c r="H85" s="130"/>
      <c r="I85" s="130"/>
      <c r="J85" s="130"/>
      <c r="K85" s="130"/>
      <c r="L85" s="83"/>
      <c r="M85" s="83"/>
      <c r="N85" s="83"/>
      <c r="O85" s="83"/>
      <c r="P85" s="83"/>
      <c r="Q85" s="83"/>
      <c r="R85" s="83"/>
      <c r="S85" s="131">
        <f t="shared" si="11"/>
        <v>0</v>
      </c>
      <c r="T85" s="132">
        <f t="shared" si="11"/>
        <v>0</v>
      </c>
      <c r="U85" s="132">
        <f t="shared" si="11"/>
        <v>0</v>
      </c>
      <c r="V85" s="132">
        <f t="shared" si="11"/>
        <v>0</v>
      </c>
      <c r="W85" s="132">
        <f t="shared" si="11"/>
        <v>0</v>
      </c>
      <c r="X85" s="132">
        <f t="shared" si="11"/>
        <v>0</v>
      </c>
      <c r="Y85" s="133">
        <f t="shared" si="11"/>
        <v>0</v>
      </c>
      <c r="AA85" s="30" t="s">
        <v>86</v>
      </c>
      <c r="AB85" s="127">
        <f>S90+T90+U90+V90+W90+X90+Y90+S92+T92+U92+V92+W92+X92+Y92</f>
        <v>0</v>
      </c>
      <c r="AC85" s="30" t="s">
        <v>101</v>
      </c>
      <c r="AD85" s="59">
        <f>S103+T103+U103+V103+W103+X103+Y103+S105+T105+U105+V105+W105+X105+Y105</f>
        <v>0</v>
      </c>
    </row>
    <row r="86" spans="1:30" ht="20.100000000000001" customHeight="1" x14ac:dyDescent="0.3">
      <c r="A86" s="400"/>
      <c r="B86" s="389" t="s">
        <v>24</v>
      </c>
      <c r="C86" s="397" t="s">
        <v>20</v>
      </c>
      <c r="D86" s="101" t="s">
        <v>93</v>
      </c>
      <c r="E86" s="118"/>
      <c r="F86" s="118"/>
      <c r="G86" s="118"/>
      <c r="H86" s="118"/>
      <c r="I86" s="118"/>
      <c r="J86" s="118"/>
      <c r="K86" s="118"/>
      <c r="L86" s="70"/>
      <c r="M86" s="70"/>
      <c r="N86" s="70"/>
      <c r="O86" s="70"/>
      <c r="P86" s="70"/>
      <c r="Q86" s="70"/>
      <c r="R86" s="71"/>
      <c r="S86" s="134">
        <f t="shared" si="11"/>
        <v>0</v>
      </c>
      <c r="T86" s="135">
        <f t="shared" si="11"/>
        <v>0</v>
      </c>
      <c r="U86" s="135">
        <f t="shared" si="11"/>
        <v>0</v>
      </c>
      <c r="V86" s="135">
        <f t="shared" si="11"/>
        <v>0</v>
      </c>
      <c r="W86" s="135">
        <f t="shared" si="11"/>
        <v>0</v>
      </c>
      <c r="X86" s="135">
        <f t="shared" si="11"/>
        <v>0</v>
      </c>
      <c r="Y86" s="136">
        <f t="shared" si="11"/>
        <v>0</v>
      </c>
      <c r="AA86" s="30" t="s">
        <v>88</v>
      </c>
      <c r="AB86" s="127">
        <f>S91+T91+U91+V91+W91+X91+Y91+S93+T93+U93+V93+W93+X93+Y93</f>
        <v>0</v>
      </c>
      <c r="AC86" s="30" t="s">
        <v>103</v>
      </c>
      <c r="AD86" s="59">
        <f>S104+T104+U104+V104+W104+X104+Y104+S106+T106+U106+V106+W106+X106+Y106</f>
        <v>0</v>
      </c>
    </row>
    <row r="87" spans="1:30" ht="20.100000000000001" customHeight="1" x14ac:dyDescent="0.3">
      <c r="A87" s="400"/>
      <c r="B87" s="403"/>
      <c r="C87" s="406"/>
      <c r="D87" s="123" t="s">
        <v>94</v>
      </c>
      <c r="E87" s="118"/>
      <c r="F87" s="118"/>
      <c r="G87" s="118"/>
      <c r="H87" s="118"/>
      <c r="I87" s="118"/>
      <c r="J87" s="118"/>
      <c r="K87" s="118"/>
      <c r="L87" s="76"/>
      <c r="M87" s="76"/>
      <c r="N87" s="76"/>
      <c r="O87" s="76"/>
      <c r="P87" s="76"/>
      <c r="Q87" s="76"/>
      <c r="R87" s="77"/>
      <c r="S87" s="124">
        <f t="shared" si="11"/>
        <v>0</v>
      </c>
      <c r="T87" s="125">
        <f t="shared" si="11"/>
        <v>0</v>
      </c>
      <c r="U87" s="125">
        <f t="shared" si="11"/>
        <v>0</v>
      </c>
      <c r="V87" s="125">
        <f t="shared" si="11"/>
        <v>0</v>
      </c>
      <c r="W87" s="125">
        <f t="shared" si="11"/>
        <v>0</v>
      </c>
      <c r="X87" s="125">
        <f t="shared" si="11"/>
        <v>0</v>
      </c>
      <c r="Y87" s="126">
        <f t="shared" si="11"/>
        <v>0</v>
      </c>
      <c r="AA87" s="30" t="s">
        <v>183</v>
      </c>
      <c r="AB87" s="127">
        <f>SUM(S90:S93)</f>
        <v>0</v>
      </c>
      <c r="AC87" s="30" t="s">
        <v>183</v>
      </c>
      <c r="AD87" s="59">
        <f>SUM(S103:S106)</f>
        <v>0</v>
      </c>
    </row>
    <row r="88" spans="1:30" ht="20.100000000000001" customHeight="1" x14ac:dyDescent="0.3">
      <c r="A88" s="400"/>
      <c r="B88" s="403"/>
      <c r="C88" s="399" t="s">
        <v>23</v>
      </c>
      <c r="D88" s="123" t="s">
        <v>93</v>
      </c>
      <c r="E88" s="118"/>
      <c r="F88" s="118"/>
      <c r="G88" s="118"/>
      <c r="H88" s="118"/>
      <c r="I88" s="118"/>
      <c r="J88" s="118"/>
      <c r="K88" s="118"/>
      <c r="L88" s="76"/>
      <c r="M88" s="76"/>
      <c r="N88" s="76"/>
      <c r="O88" s="76"/>
      <c r="P88" s="76"/>
      <c r="Q88" s="76"/>
      <c r="R88" s="77"/>
      <c r="S88" s="124">
        <f t="shared" si="11"/>
        <v>0</v>
      </c>
      <c r="T88" s="125">
        <f t="shared" si="11"/>
        <v>0</v>
      </c>
      <c r="U88" s="125">
        <f t="shared" si="11"/>
        <v>0</v>
      </c>
      <c r="V88" s="125">
        <f t="shared" si="11"/>
        <v>0</v>
      </c>
      <c r="W88" s="125">
        <f t="shared" si="11"/>
        <v>0</v>
      </c>
      <c r="X88" s="125">
        <f t="shared" si="11"/>
        <v>0</v>
      </c>
      <c r="Y88" s="126">
        <f t="shared" si="11"/>
        <v>0</v>
      </c>
      <c r="AA88" s="30" t="s">
        <v>164</v>
      </c>
      <c r="AB88" s="127">
        <f>SUM(T90:T93)</f>
        <v>0</v>
      </c>
      <c r="AC88" s="30" t="s">
        <v>164</v>
      </c>
      <c r="AD88" s="59">
        <f>SUM(T103:T106)</f>
        <v>0</v>
      </c>
    </row>
    <row r="89" spans="1:30" ht="20.100000000000001" customHeight="1" thickBot="1" x14ac:dyDescent="0.35">
      <c r="A89" s="400"/>
      <c r="B89" s="404"/>
      <c r="C89" s="404"/>
      <c r="D89" s="129" t="s">
        <v>94</v>
      </c>
      <c r="E89" s="118"/>
      <c r="F89" s="118"/>
      <c r="G89" s="118"/>
      <c r="H89" s="118"/>
      <c r="I89" s="118"/>
      <c r="J89" s="118"/>
      <c r="K89" s="118"/>
      <c r="L89" s="83"/>
      <c r="M89" s="83"/>
      <c r="N89" s="83"/>
      <c r="O89" s="83"/>
      <c r="P89" s="83"/>
      <c r="Q89" s="83"/>
      <c r="R89" s="83"/>
      <c r="S89" s="131">
        <f t="shared" si="11"/>
        <v>0</v>
      </c>
      <c r="T89" s="132">
        <f t="shared" si="11"/>
        <v>0</v>
      </c>
      <c r="U89" s="132">
        <f t="shared" si="11"/>
        <v>0</v>
      </c>
      <c r="V89" s="132">
        <f t="shared" si="11"/>
        <v>0</v>
      </c>
      <c r="W89" s="132">
        <f t="shared" si="11"/>
        <v>0</v>
      </c>
      <c r="X89" s="132">
        <f t="shared" si="11"/>
        <v>0</v>
      </c>
      <c r="Y89" s="133">
        <f t="shared" si="11"/>
        <v>0</v>
      </c>
      <c r="AA89" s="30" t="s">
        <v>167</v>
      </c>
      <c r="AB89" s="127">
        <f>SUM(U90:U93)</f>
        <v>0</v>
      </c>
      <c r="AC89" s="30" t="s">
        <v>167</v>
      </c>
      <c r="AD89" s="59">
        <f>SUM(U103:U106)</f>
        <v>0</v>
      </c>
    </row>
    <row r="90" spans="1:30" ht="20.100000000000001" customHeight="1" x14ac:dyDescent="0.3">
      <c r="A90" s="400"/>
      <c r="B90" s="389" t="s">
        <v>16</v>
      </c>
      <c r="C90" s="397" t="s">
        <v>20</v>
      </c>
      <c r="D90" s="117" t="s">
        <v>93</v>
      </c>
      <c r="E90" s="134">
        <f t="shared" ref="E90:Y93" si="12">E82+E86</f>
        <v>0</v>
      </c>
      <c r="F90" s="135">
        <f t="shared" si="12"/>
        <v>0</v>
      </c>
      <c r="G90" s="135">
        <f t="shared" si="12"/>
        <v>0</v>
      </c>
      <c r="H90" s="135">
        <f t="shared" si="12"/>
        <v>0</v>
      </c>
      <c r="I90" s="135">
        <f t="shared" si="12"/>
        <v>0</v>
      </c>
      <c r="J90" s="135">
        <f t="shared" si="12"/>
        <v>0</v>
      </c>
      <c r="K90" s="137">
        <f t="shared" si="12"/>
        <v>0</v>
      </c>
      <c r="L90" s="134">
        <f t="shared" si="12"/>
        <v>0</v>
      </c>
      <c r="M90" s="135">
        <f t="shared" si="12"/>
        <v>0</v>
      </c>
      <c r="N90" s="135">
        <f t="shared" si="12"/>
        <v>0</v>
      </c>
      <c r="O90" s="135">
        <f t="shared" si="12"/>
        <v>0</v>
      </c>
      <c r="P90" s="135">
        <f t="shared" si="12"/>
        <v>0</v>
      </c>
      <c r="Q90" s="135">
        <f t="shared" si="12"/>
        <v>0</v>
      </c>
      <c r="R90" s="137">
        <f t="shared" si="12"/>
        <v>0</v>
      </c>
      <c r="S90" s="134">
        <f t="shared" si="12"/>
        <v>0</v>
      </c>
      <c r="T90" s="135">
        <f t="shared" si="12"/>
        <v>0</v>
      </c>
      <c r="U90" s="135">
        <f t="shared" si="12"/>
        <v>0</v>
      </c>
      <c r="V90" s="135">
        <f t="shared" si="12"/>
        <v>0</v>
      </c>
      <c r="W90" s="135">
        <f t="shared" si="12"/>
        <v>0</v>
      </c>
      <c r="X90" s="135">
        <f t="shared" si="12"/>
        <v>0</v>
      </c>
      <c r="Y90" s="136">
        <f t="shared" si="12"/>
        <v>0</v>
      </c>
      <c r="AA90" s="30" t="s">
        <v>170</v>
      </c>
      <c r="AB90" s="127">
        <f>SUM(V90:V93)</f>
        <v>0</v>
      </c>
      <c r="AC90" s="30" t="s">
        <v>170</v>
      </c>
      <c r="AD90" s="59">
        <f>SUM(V103:V106)</f>
        <v>0</v>
      </c>
    </row>
    <row r="91" spans="1:30" ht="20.100000000000001" customHeight="1" x14ac:dyDescent="0.3">
      <c r="A91" s="400"/>
      <c r="B91" s="403"/>
      <c r="C91" s="406"/>
      <c r="D91" s="128" t="s">
        <v>94</v>
      </c>
      <c r="E91" s="124">
        <f t="shared" si="12"/>
        <v>0</v>
      </c>
      <c r="F91" s="125">
        <f t="shared" si="12"/>
        <v>0</v>
      </c>
      <c r="G91" s="125">
        <f t="shared" si="12"/>
        <v>0</v>
      </c>
      <c r="H91" s="125">
        <f t="shared" si="12"/>
        <v>0</v>
      </c>
      <c r="I91" s="125">
        <f t="shared" si="12"/>
        <v>0</v>
      </c>
      <c r="J91" s="125">
        <f t="shared" si="12"/>
        <v>0</v>
      </c>
      <c r="K91" s="138">
        <f t="shared" si="12"/>
        <v>0</v>
      </c>
      <c r="L91" s="124">
        <f t="shared" si="12"/>
        <v>0</v>
      </c>
      <c r="M91" s="125">
        <f t="shared" si="12"/>
        <v>0</v>
      </c>
      <c r="N91" s="125">
        <f t="shared" si="12"/>
        <v>0</v>
      </c>
      <c r="O91" s="125">
        <f t="shared" si="12"/>
        <v>0</v>
      </c>
      <c r="P91" s="125">
        <f t="shared" si="12"/>
        <v>0</v>
      </c>
      <c r="Q91" s="125">
        <f t="shared" si="12"/>
        <v>0</v>
      </c>
      <c r="R91" s="138">
        <f t="shared" si="12"/>
        <v>0</v>
      </c>
      <c r="S91" s="124">
        <f t="shared" si="12"/>
        <v>0</v>
      </c>
      <c r="T91" s="125">
        <f t="shared" si="12"/>
        <v>0</v>
      </c>
      <c r="U91" s="125">
        <f t="shared" si="12"/>
        <v>0</v>
      </c>
      <c r="V91" s="125">
        <f t="shared" si="12"/>
        <v>0</v>
      </c>
      <c r="W91" s="125">
        <f t="shared" si="12"/>
        <v>0</v>
      </c>
      <c r="X91" s="125">
        <f t="shared" si="12"/>
        <v>0</v>
      </c>
      <c r="Y91" s="126">
        <f t="shared" si="12"/>
        <v>0</v>
      </c>
      <c r="AA91" s="30" t="s">
        <v>173</v>
      </c>
      <c r="AB91" s="127">
        <f>SUM(W90:W93)</f>
        <v>0</v>
      </c>
      <c r="AC91" s="30" t="s">
        <v>173</v>
      </c>
      <c r="AD91" s="59">
        <f>SUM(W103:W106)</f>
        <v>0</v>
      </c>
    </row>
    <row r="92" spans="1:30" ht="20.100000000000001" customHeight="1" x14ac:dyDescent="0.3">
      <c r="A92" s="400"/>
      <c r="B92" s="403"/>
      <c r="C92" s="399" t="s">
        <v>23</v>
      </c>
      <c r="D92" s="123" t="s">
        <v>93</v>
      </c>
      <c r="E92" s="124">
        <f t="shared" si="12"/>
        <v>0</v>
      </c>
      <c r="F92" s="125">
        <f t="shared" si="12"/>
        <v>0</v>
      </c>
      <c r="G92" s="125">
        <f t="shared" si="12"/>
        <v>0</v>
      </c>
      <c r="H92" s="125">
        <f t="shared" si="12"/>
        <v>0</v>
      </c>
      <c r="I92" s="125">
        <f t="shared" si="12"/>
        <v>0</v>
      </c>
      <c r="J92" s="125">
        <f t="shared" si="12"/>
        <v>0</v>
      </c>
      <c r="K92" s="138">
        <f t="shared" si="12"/>
        <v>0</v>
      </c>
      <c r="L92" s="124">
        <f t="shared" si="12"/>
        <v>0</v>
      </c>
      <c r="M92" s="125">
        <f t="shared" si="12"/>
        <v>0</v>
      </c>
      <c r="N92" s="125">
        <f t="shared" si="12"/>
        <v>0</v>
      </c>
      <c r="O92" s="125">
        <f t="shared" si="12"/>
        <v>0</v>
      </c>
      <c r="P92" s="125">
        <f t="shared" si="12"/>
        <v>0</v>
      </c>
      <c r="Q92" s="125">
        <f t="shared" si="12"/>
        <v>0</v>
      </c>
      <c r="R92" s="138">
        <f t="shared" si="12"/>
        <v>0</v>
      </c>
      <c r="S92" s="124">
        <f t="shared" si="12"/>
        <v>0</v>
      </c>
      <c r="T92" s="125">
        <f t="shared" si="12"/>
        <v>0</v>
      </c>
      <c r="U92" s="125">
        <f t="shared" si="12"/>
        <v>0</v>
      </c>
      <c r="V92" s="125">
        <f t="shared" si="12"/>
        <v>0</v>
      </c>
      <c r="W92" s="125">
        <f t="shared" si="12"/>
        <v>0</v>
      </c>
      <c r="X92" s="125">
        <f t="shared" si="12"/>
        <v>0</v>
      </c>
      <c r="Y92" s="126">
        <f t="shared" si="12"/>
        <v>0</v>
      </c>
      <c r="AA92" s="30" t="s">
        <v>175</v>
      </c>
      <c r="AB92" s="127">
        <f>SUM(X90:X93)</f>
        <v>0</v>
      </c>
      <c r="AC92" s="30" t="s">
        <v>175</v>
      </c>
      <c r="AD92" s="59">
        <f>SUM(X103:X106)</f>
        <v>0</v>
      </c>
    </row>
    <row r="93" spans="1:30" ht="20.100000000000001" customHeight="1" thickBot="1" x14ac:dyDescent="0.35">
      <c r="A93" s="401"/>
      <c r="B93" s="404"/>
      <c r="C93" s="404"/>
      <c r="D93" s="139" t="s">
        <v>94</v>
      </c>
      <c r="E93" s="140">
        <f t="shared" si="12"/>
        <v>0</v>
      </c>
      <c r="F93" s="141">
        <f t="shared" si="12"/>
        <v>0</v>
      </c>
      <c r="G93" s="141">
        <f t="shared" si="12"/>
        <v>0</v>
      </c>
      <c r="H93" s="141">
        <f t="shared" si="12"/>
        <v>0</v>
      </c>
      <c r="I93" s="141">
        <f t="shared" si="12"/>
        <v>0</v>
      </c>
      <c r="J93" s="141">
        <f t="shared" si="12"/>
        <v>0</v>
      </c>
      <c r="K93" s="142">
        <f t="shared" si="12"/>
        <v>0</v>
      </c>
      <c r="L93" s="140">
        <f t="shared" si="12"/>
        <v>0</v>
      </c>
      <c r="M93" s="141">
        <f t="shared" si="12"/>
        <v>0</v>
      </c>
      <c r="N93" s="141">
        <f t="shared" si="12"/>
        <v>0</v>
      </c>
      <c r="O93" s="141">
        <f t="shared" si="12"/>
        <v>0</v>
      </c>
      <c r="P93" s="141">
        <f t="shared" si="12"/>
        <v>0</v>
      </c>
      <c r="Q93" s="141">
        <f t="shared" si="12"/>
        <v>0</v>
      </c>
      <c r="R93" s="142">
        <f t="shared" si="12"/>
        <v>0</v>
      </c>
      <c r="S93" s="140">
        <f t="shared" si="12"/>
        <v>0</v>
      </c>
      <c r="T93" s="141">
        <f t="shared" si="12"/>
        <v>0</v>
      </c>
      <c r="U93" s="141">
        <f t="shared" si="12"/>
        <v>0</v>
      </c>
      <c r="V93" s="141">
        <f t="shared" si="12"/>
        <v>0</v>
      </c>
      <c r="W93" s="141">
        <f t="shared" si="12"/>
        <v>0</v>
      </c>
      <c r="X93" s="141">
        <f t="shared" si="12"/>
        <v>0</v>
      </c>
      <c r="Y93" s="143">
        <f t="shared" si="12"/>
        <v>0</v>
      </c>
      <c r="AA93" s="42" t="s">
        <v>177</v>
      </c>
      <c r="AB93" s="144">
        <f>SUM(Y90:Y93)</f>
        <v>0</v>
      </c>
      <c r="AC93" s="42" t="s">
        <v>177</v>
      </c>
      <c r="AD93" s="104">
        <f>SUM(Y103:Y106)</f>
        <v>0</v>
      </c>
    </row>
    <row r="94" spans="1:30" ht="20.100000000000001" customHeight="1" thickBot="1" x14ac:dyDescent="0.35">
      <c r="A94" s="145"/>
      <c r="B94" s="146"/>
      <c r="C94" s="147"/>
      <c r="D94" s="148"/>
      <c r="E94" s="149"/>
      <c r="F94" s="150"/>
      <c r="G94" s="151"/>
      <c r="H94" s="151"/>
      <c r="I94" s="151"/>
      <c r="J94" s="151"/>
      <c r="K94" s="152"/>
      <c r="L94" s="153"/>
      <c r="M94" s="151"/>
      <c r="N94" s="151"/>
      <c r="O94" s="151"/>
      <c r="P94" s="152"/>
      <c r="Q94" s="151"/>
      <c r="R94" s="152"/>
      <c r="S94" s="154"/>
      <c r="T94" s="151"/>
      <c r="U94" s="150"/>
      <c r="V94" s="151"/>
      <c r="W94" s="151"/>
      <c r="X94" s="150"/>
      <c r="Y94" s="155"/>
    </row>
    <row r="95" spans="1:30" ht="20.100000000000001" customHeight="1" x14ac:dyDescent="0.3">
      <c r="A95" s="407" t="s">
        <v>90</v>
      </c>
      <c r="B95" s="389" t="s">
        <v>21</v>
      </c>
      <c r="C95" s="397" t="s">
        <v>20</v>
      </c>
      <c r="D95" s="101" t="s">
        <v>93</v>
      </c>
      <c r="E95" s="118"/>
      <c r="F95" s="118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34">
        <f t="shared" ref="S95:Y102" si="13">E95+L95</f>
        <v>0</v>
      </c>
      <c r="T95" s="135">
        <f t="shared" si="13"/>
        <v>0</v>
      </c>
      <c r="U95" s="120">
        <f t="shared" si="13"/>
        <v>0</v>
      </c>
      <c r="V95" s="135">
        <f t="shared" si="13"/>
        <v>0</v>
      </c>
      <c r="W95" s="135">
        <f t="shared" si="13"/>
        <v>0</v>
      </c>
      <c r="X95" s="120">
        <f t="shared" si="13"/>
        <v>0</v>
      </c>
      <c r="Y95" s="136">
        <f t="shared" si="13"/>
        <v>0</v>
      </c>
    </row>
    <row r="96" spans="1:30" ht="20.100000000000001" customHeight="1" x14ac:dyDescent="0.3">
      <c r="A96" s="400"/>
      <c r="B96" s="403"/>
      <c r="C96" s="406"/>
      <c r="D96" s="123" t="s">
        <v>94</v>
      </c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24">
        <f t="shared" si="13"/>
        <v>0</v>
      </c>
      <c r="T96" s="125">
        <f t="shared" si="13"/>
        <v>0</v>
      </c>
      <c r="U96" s="125">
        <f t="shared" si="13"/>
        <v>0</v>
      </c>
      <c r="V96" s="125">
        <f t="shared" si="13"/>
        <v>0</v>
      </c>
      <c r="W96" s="125">
        <f t="shared" si="13"/>
        <v>0</v>
      </c>
      <c r="X96" s="125">
        <f t="shared" si="13"/>
        <v>0</v>
      </c>
      <c r="Y96" s="126">
        <f t="shared" si="13"/>
        <v>0</v>
      </c>
    </row>
    <row r="97" spans="1:28" ht="20.100000000000001" customHeight="1" x14ac:dyDescent="0.3">
      <c r="A97" s="400"/>
      <c r="B97" s="403"/>
      <c r="C97" s="399" t="s">
        <v>23</v>
      </c>
      <c r="D97" s="128" t="s">
        <v>93</v>
      </c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24">
        <f t="shared" si="13"/>
        <v>0</v>
      </c>
      <c r="T97" s="125">
        <f t="shared" si="13"/>
        <v>0</v>
      </c>
      <c r="U97" s="125">
        <f t="shared" si="13"/>
        <v>0</v>
      </c>
      <c r="V97" s="125">
        <f t="shared" si="13"/>
        <v>0</v>
      </c>
      <c r="W97" s="125">
        <f t="shared" si="13"/>
        <v>0</v>
      </c>
      <c r="X97" s="125">
        <f t="shared" si="13"/>
        <v>0</v>
      </c>
      <c r="Y97" s="126">
        <f t="shared" si="13"/>
        <v>0</v>
      </c>
    </row>
    <row r="98" spans="1:28" ht="20.100000000000001" customHeight="1" thickBot="1" x14ac:dyDescent="0.35">
      <c r="A98" s="400"/>
      <c r="B98" s="404"/>
      <c r="C98" s="404"/>
      <c r="D98" s="129" t="s">
        <v>94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57"/>
      <c r="S98" s="131">
        <f t="shared" si="13"/>
        <v>0</v>
      </c>
      <c r="T98" s="132">
        <f t="shared" si="13"/>
        <v>0</v>
      </c>
      <c r="U98" s="132">
        <f t="shared" si="13"/>
        <v>0</v>
      </c>
      <c r="V98" s="132">
        <f t="shared" si="13"/>
        <v>0</v>
      </c>
      <c r="W98" s="132">
        <f t="shared" si="13"/>
        <v>0</v>
      </c>
      <c r="X98" s="132">
        <f t="shared" si="13"/>
        <v>0</v>
      </c>
      <c r="Y98" s="133">
        <f t="shared" si="13"/>
        <v>0</v>
      </c>
    </row>
    <row r="99" spans="1:28" ht="20.100000000000001" customHeight="1" x14ac:dyDescent="0.3">
      <c r="A99" s="400"/>
      <c r="B99" s="389" t="s">
        <v>24</v>
      </c>
      <c r="C99" s="397" t="s">
        <v>20</v>
      </c>
      <c r="D99" s="101" t="s">
        <v>93</v>
      </c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34">
        <f t="shared" si="13"/>
        <v>0</v>
      </c>
      <c r="T99" s="135">
        <f t="shared" si="13"/>
        <v>0</v>
      </c>
      <c r="U99" s="135">
        <f t="shared" si="13"/>
        <v>0</v>
      </c>
      <c r="V99" s="135">
        <f t="shared" si="13"/>
        <v>0</v>
      </c>
      <c r="W99" s="135">
        <f t="shared" si="13"/>
        <v>0</v>
      </c>
      <c r="X99" s="135">
        <f t="shared" si="13"/>
        <v>0</v>
      </c>
      <c r="Y99" s="136">
        <f t="shared" si="13"/>
        <v>0</v>
      </c>
    </row>
    <row r="100" spans="1:28" ht="20.100000000000001" customHeight="1" x14ac:dyDescent="0.3">
      <c r="A100" s="400"/>
      <c r="B100" s="403"/>
      <c r="C100" s="406"/>
      <c r="D100" s="123" t="s">
        <v>94</v>
      </c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24">
        <f t="shared" si="13"/>
        <v>0</v>
      </c>
      <c r="T100" s="125">
        <f t="shared" si="13"/>
        <v>0</v>
      </c>
      <c r="U100" s="125">
        <f t="shared" si="13"/>
        <v>0</v>
      </c>
      <c r="V100" s="125">
        <f t="shared" si="13"/>
        <v>0</v>
      </c>
      <c r="W100" s="125">
        <f t="shared" si="13"/>
        <v>0</v>
      </c>
      <c r="X100" s="125">
        <f t="shared" si="13"/>
        <v>0</v>
      </c>
      <c r="Y100" s="126">
        <f t="shared" si="13"/>
        <v>0</v>
      </c>
    </row>
    <row r="101" spans="1:28" ht="20.100000000000001" customHeight="1" x14ac:dyDescent="0.3">
      <c r="A101" s="400"/>
      <c r="B101" s="403"/>
      <c r="C101" s="399" t="s">
        <v>23</v>
      </c>
      <c r="D101" s="123" t="s">
        <v>93</v>
      </c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24">
        <f t="shared" si="13"/>
        <v>0</v>
      </c>
      <c r="T101" s="125">
        <f t="shared" si="13"/>
        <v>0</v>
      </c>
      <c r="U101" s="125">
        <f t="shared" si="13"/>
        <v>0</v>
      </c>
      <c r="V101" s="125">
        <f t="shared" si="13"/>
        <v>0</v>
      </c>
      <c r="W101" s="125">
        <f t="shared" si="13"/>
        <v>0</v>
      </c>
      <c r="X101" s="125">
        <f t="shared" si="13"/>
        <v>0</v>
      </c>
      <c r="Y101" s="126">
        <f t="shared" si="13"/>
        <v>0</v>
      </c>
    </row>
    <row r="102" spans="1:28" ht="20.100000000000001" customHeight="1" thickBot="1" x14ac:dyDescent="0.35">
      <c r="A102" s="400"/>
      <c r="B102" s="404"/>
      <c r="C102" s="404"/>
      <c r="D102" s="129" t="s">
        <v>94</v>
      </c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31">
        <f t="shared" si="13"/>
        <v>0</v>
      </c>
      <c r="T102" s="132">
        <f t="shared" si="13"/>
        <v>0</v>
      </c>
      <c r="U102" s="132">
        <f t="shared" si="13"/>
        <v>0</v>
      </c>
      <c r="V102" s="132">
        <f t="shared" si="13"/>
        <v>0</v>
      </c>
      <c r="W102" s="132">
        <f t="shared" si="13"/>
        <v>0</v>
      </c>
      <c r="X102" s="132">
        <f t="shared" si="13"/>
        <v>0</v>
      </c>
      <c r="Y102" s="133">
        <f t="shared" si="13"/>
        <v>0</v>
      </c>
    </row>
    <row r="103" spans="1:28" ht="20.100000000000001" customHeight="1" x14ac:dyDescent="0.3">
      <c r="A103" s="400"/>
      <c r="B103" s="389" t="s">
        <v>16</v>
      </c>
      <c r="C103" s="397" t="s">
        <v>20</v>
      </c>
      <c r="D103" s="117" t="s">
        <v>93</v>
      </c>
      <c r="E103" s="134">
        <f t="shared" ref="E103:Y106" si="14">E95+E99</f>
        <v>0</v>
      </c>
      <c r="F103" s="135">
        <f t="shared" si="14"/>
        <v>0</v>
      </c>
      <c r="G103" s="135">
        <f t="shared" si="14"/>
        <v>0</v>
      </c>
      <c r="H103" s="135">
        <f t="shared" si="14"/>
        <v>0</v>
      </c>
      <c r="I103" s="135">
        <f t="shared" si="14"/>
        <v>0</v>
      </c>
      <c r="J103" s="135">
        <f t="shared" si="14"/>
        <v>0</v>
      </c>
      <c r="K103" s="137">
        <f t="shared" si="14"/>
        <v>0</v>
      </c>
      <c r="L103" s="134">
        <f t="shared" si="14"/>
        <v>0</v>
      </c>
      <c r="M103" s="135">
        <f t="shared" si="14"/>
        <v>0</v>
      </c>
      <c r="N103" s="135">
        <f t="shared" si="14"/>
        <v>0</v>
      </c>
      <c r="O103" s="135">
        <f t="shared" si="14"/>
        <v>0</v>
      </c>
      <c r="P103" s="135">
        <f t="shared" si="14"/>
        <v>0</v>
      </c>
      <c r="Q103" s="135">
        <f t="shared" si="14"/>
        <v>0</v>
      </c>
      <c r="R103" s="137">
        <f t="shared" si="14"/>
        <v>0</v>
      </c>
      <c r="S103" s="134">
        <f t="shared" si="14"/>
        <v>0</v>
      </c>
      <c r="T103" s="135">
        <f t="shared" si="14"/>
        <v>0</v>
      </c>
      <c r="U103" s="135">
        <f t="shared" si="14"/>
        <v>0</v>
      </c>
      <c r="V103" s="135">
        <f t="shared" si="14"/>
        <v>0</v>
      </c>
      <c r="W103" s="135">
        <f t="shared" si="14"/>
        <v>0</v>
      </c>
      <c r="X103" s="135">
        <f t="shared" si="14"/>
        <v>0</v>
      </c>
      <c r="Y103" s="136">
        <f t="shared" si="14"/>
        <v>0</v>
      </c>
    </row>
    <row r="104" spans="1:28" ht="20.100000000000001" customHeight="1" x14ac:dyDescent="0.3">
      <c r="A104" s="400"/>
      <c r="B104" s="403"/>
      <c r="C104" s="406"/>
      <c r="D104" s="128" t="s">
        <v>94</v>
      </c>
      <c r="E104" s="124">
        <f t="shared" si="14"/>
        <v>0</v>
      </c>
      <c r="F104" s="125">
        <f t="shared" si="14"/>
        <v>0</v>
      </c>
      <c r="G104" s="125">
        <f t="shared" si="14"/>
        <v>0</v>
      </c>
      <c r="H104" s="125">
        <f t="shared" si="14"/>
        <v>0</v>
      </c>
      <c r="I104" s="125">
        <f t="shared" si="14"/>
        <v>0</v>
      </c>
      <c r="J104" s="125">
        <f t="shared" si="14"/>
        <v>0</v>
      </c>
      <c r="K104" s="138">
        <f t="shared" si="14"/>
        <v>0</v>
      </c>
      <c r="L104" s="124">
        <f t="shared" si="14"/>
        <v>0</v>
      </c>
      <c r="M104" s="125">
        <f t="shared" si="14"/>
        <v>0</v>
      </c>
      <c r="N104" s="125">
        <f t="shared" si="14"/>
        <v>0</v>
      </c>
      <c r="O104" s="125">
        <f t="shared" si="14"/>
        <v>0</v>
      </c>
      <c r="P104" s="125">
        <f t="shared" si="14"/>
        <v>0</v>
      </c>
      <c r="Q104" s="125">
        <f t="shared" si="14"/>
        <v>0</v>
      </c>
      <c r="R104" s="138">
        <f t="shared" si="14"/>
        <v>0</v>
      </c>
      <c r="S104" s="124">
        <f t="shared" si="14"/>
        <v>0</v>
      </c>
      <c r="T104" s="125">
        <f t="shared" si="14"/>
        <v>0</v>
      </c>
      <c r="U104" s="125">
        <f t="shared" si="14"/>
        <v>0</v>
      </c>
      <c r="V104" s="125">
        <f t="shared" si="14"/>
        <v>0</v>
      </c>
      <c r="W104" s="125">
        <f t="shared" si="14"/>
        <v>0</v>
      </c>
      <c r="X104" s="125">
        <f t="shared" si="14"/>
        <v>0</v>
      </c>
      <c r="Y104" s="126">
        <f t="shared" si="14"/>
        <v>0</v>
      </c>
    </row>
    <row r="105" spans="1:28" ht="20.100000000000001" customHeight="1" x14ac:dyDescent="0.3">
      <c r="A105" s="400"/>
      <c r="B105" s="403"/>
      <c r="C105" s="399" t="s">
        <v>23</v>
      </c>
      <c r="D105" s="123" t="s">
        <v>93</v>
      </c>
      <c r="E105" s="124">
        <f t="shared" si="14"/>
        <v>0</v>
      </c>
      <c r="F105" s="125">
        <f t="shared" si="14"/>
        <v>0</v>
      </c>
      <c r="G105" s="125">
        <f t="shared" si="14"/>
        <v>0</v>
      </c>
      <c r="H105" s="125">
        <f t="shared" si="14"/>
        <v>0</v>
      </c>
      <c r="I105" s="125">
        <f t="shared" si="14"/>
        <v>0</v>
      </c>
      <c r="J105" s="125">
        <f t="shared" si="14"/>
        <v>0</v>
      </c>
      <c r="K105" s="138">
        <f t="shared" si="14"/>
        <v>0</v>
      </c>
      <c r="L105" s="124">
        <f t="shared" si="14"/>
        <v>0</v>
      </c>
      <c r="M105" s="125">
        <f t="shared" si="14"/>
        <v>0</v>
      </c>
      <c r="N105" s="125">
        <f t="shared" si="14"/>
        <v>0</v>
      </c>
      <c r="O105" s="125">
        <f t="shared" si="14"/>
        <v>0</v>
      </c>
      <c r="P105" s="125">
        <f t="shared" si="14"/>
        <v>0</v>
      </c>
      <c r="Q105" s="125">
        <f t="shared" si="14"/>
        <v>0</v>
      </c>
      <c r="R105" s="138">
        <f t="shared" si="14"/>
        <v>0</v>
      </c>
      <c r="S105" s="124">
        <f t="shared" si="14"/>
        <v>0</v>
      </c>
      <c r="T105" s="125">
        <f t="shared" si="14"/>
        <v>0</v>
      </c>
      <c r="U105" s="125">
        <f t="shared" si="14"/>
        <v>0</v>
      </c>
      <c r="V105" s="125">
        <f t="shared" si="14"/>
        <v>0</v>
      </c>
      <c r="W105" s="125">
        <f t="shared" si="14"/>
        <v>0</v>
      </c>
      <c r="X105" s="125">
        <f t="shared" si="14"/>
        <v>0</v>
      </c>
      <c r="Y105" s="126">
        <f t="shared" si="14"/>
        <v>0</v>
      </c>
    </row>
    <row r="106" spans="1:28" ht="20.100000000000001" customHeight="1" thickBot="1" x14ac:dyDescent="0.35">
      <c r="A106" s="401"/>
      <c r="B106" s="404"/>
      <c r="C106" s="404"/>
      <c r="D106" s="139" t="s">
        <v>94</v>
      </c>
      <c r="E106" s="140">
        <f t="shared" si="14"/>
        <v>0</v>
      </c>
      <c r="F106" s="141">
        <f t="shared" si="14"/>
        <v>0</v>
      </c>
      <c r="G106" s="141">
        <f t="shared" si="14"/>
        <v>0</v>
      </c>
      <c r="H106" s="141">
        <f t="shared" si="14"/>
        <v>0</v>
      </c>
      <c r="I106" s="141">
        <f t="shared" si="14"/>
        <v>0</v>
      </c>
      <c r="J106" s="141">
        <f t="shared" si="14"/>
        <v>0</v>
      </c>
      <c r="K106" s="142">
        <f t="shared" si="14"/>
        <v>0</v>
      </c>
      <c r="L106" s="140">
        <f t="shared" si="14"/>
        <v>0</v>
      </c>
      <c r="M106" s="141">
        <f t="shared" si="14"/>
        <v>0</v>
      </c>
      <c r="N106" s="141">
        <f t="shared" si="14"/>
        <v>0</v>
      </c>
      <c r="O106" s="141">
        <f t="shared" si="14"/>
        <v>0</v>
      </c>
      <c r="P106" s="141">
        <f t="shared" si="14"/>
        <v>0</v>
      </c>
      <c r="Q106" s="141">
        <f t="shared" si="14"/>
        <v>0</v>
      </c>
      <c r="R106" s="142">
        <f t="shared" si="14"/>
        <v>0</v>
      </c>
      <c r="S106" s="140">
        <f t="shared" si="14"/>
        <v>0</v>
      </c>
      <c r="T106" s="141">
        <f t="shared" si="14"/>
        <v>0</v>
      </c>
      <c r="U106" s="141">
        <f t="shared" si="14"/>
        <v>0</v>
      </c>
      <c r="V106" s="141">
        <f t="shared" si="14"/>
        <v>0</v>
      </c>
      <c r="W106" s="141">
        <f t="shared" si="14"/>
        <v>0</v>
      </c>
      <c r="X106" s="141">
        <f t="shared" si="14"/>
        <v>0</v>
      </c>
      <c r="Y106" s="143">
        <f t="shared" si="14"/>
        <v>0</v>
      </c>
    </row>
    <row r="107" spans="1:28" ht="17.25" customHeight="1" x14ac:dyDescent="0.3">
      <c r="A107" s="15"/>
      <c r="B107" s="20"/>
      <c r="C107" s="18"/>
      <c r="D107" s="1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</row>
    <row r="108" spans="1:28" ht="18" customHeight="1" x14ac:dyDescent="0.3">
      <c r="A108" s="27"/>
      <c r="B108" s="20"/>
      <c r="C108" s="18"/>
      <c r="D108" s="1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</row>
    <row r="109" spans="1:28" ht="15" customHeight="1" thickBot="1" x14ac:dyDescent="0.35">
      <c r="A109" s="2"/>
    </row>
    <row r="110" spans="1:28" ht="16.2" thickBot="1" x14ac:dyDescent="0.35">
      <c r="A110" s="395" t="s">
        <v>184</v>
      </c>
      <c r="B110" s="415" t="s">
        <v>185</v>
      </c>
      <c r="C110" s="415" t="s">
        <v>186</v>
      </c>
      <c r="D110" s="477" t="s">
        <v>187</v>
      </c>
      <c r="E110" s="478"/>
      <c r="F110" s="478"/>
      <c r="G110" s="478"/>
      <c r="H110" s="478"/>
      <c r="I110" s="478"/>
      <c r="J110" s="478"/>
      <c r="K110" s="478"/>
      <c r="L110" s="479"/>
      <c r="M110" s="159"/>
    </row>
    <row r="111" spans="1:28" ht="16.2" thickBot="1" x14ac:dyDescent="0.35">
      <c r="A111" s="396"/>
      <c r="B111" s="396"/>
      <c r="C111" s="396"/>
      <c r="D111" s="477" t="s">
        <v>20</v>
      </c>
      <c r="E111" s="500"/>
      <c r="F111" s="501"/>
      <c r="G111" s="477" t="s">
        <v>23</v>
      </c>
      <c r="H111" s="500"/>
      <c r="I111" s="501"/>
      <c r="J111" s="477" t="s">
        <v>25</v>
      </c>
      <c r="K111" s="478"/>
      <c r="L111" s="479"/>
      <c r="M111" s="159"/>
      <c r="N111" s="159"/>
      <c r="O111" s="159"/>
      <c r="AA111" s="418" t="s">
        <v>188</v>
      </c>
      <c r="AB111" s="463"/>
    </row>
    <row r="112" spans="1:28" ht="16.2" thickBot="1" x14ac:dyDescent="0.35">
      <c r="A112" s="396"/>
      <c r="B112" s="499"/>
      <c r="C112" s="499"/>
      <c r="D112" s="160" t="s">
        <v>189</v>
      </c>
      <c r="E112" s="161" t="s">
        <v>190</v>
      </c>
      <c r="F112" s="162" t="s">
        <v>16</v>
      </c>
      <c r="G112" s="160" t="s">
        <v>189</v>
      </c>
      <c r="H112" s="161" t="s">
        <v>190</v>
      </c>
      <c r="I112" s="163" t="s">
        <v>16</v>
      </c>
      <c r="J112" s="160" t="s">
        <v>189</v>
      </c>
      <c r="K112" s="164" t="s">
        <v>190</v>
      </c>
      <c r="L112" s="165" t="s">
        <v>16</v>
      </c>
      <c r="M112" s="159"/>
      <c r="N112" s="159"/>
      <c r="O112" s="159"/>
      <c r="AA112" s="57" t="s">
        <v>14</v>
      </c>
      <c r="AB112" s="58">
        <f>SUM(L121:L124)</f>
        <v>0</v>
      </c>
    </row>
    <row r="113" spans="1:33" ht="47.4" thickBot="1" x14ac:dyDescent="0.35">
      <c r="A113" s="396"/>
      <c r="B113" s="415" t="s">
        <v>191</v>
      </c>
      <c r="C113" s="166" t="s">
        <v>192</v>
      </c>
      <c r="D113" s="167"/>
      <c r="E113" s="167"/>
      <c r="F113" s="168">
        <f>D113+E113</f>
        <v>0</v>
      </c>
      <c r="G113" s="167"/>
      <c r="H113" s="167"/>
      <c r="I113" s="168">
        <f t="shared" ref="I113:I124" si="15">G113+H113</f>
        <v>0</v>
      </c>
      <c r="J113" s="169"/>
      <c r="K113" s="169"/>
      <c r="L113" s="170">
        <f t="shared" ref="L113:L124" si="16">J113+K113</f>
        <v>0</v>
      </c>
      <c r="M113" s="18"/>
      <c r="N113" s="18"/>
      <c r="O113" s="18"/>
      <c r="AA113" s="30" t="s">
        <v>80</v>
      </c>
      <c r="AB113" s="59">
        <f>SUM(F121:F124)</f>
        <v>0</v>
      </c>
    </row>
    <row r="114" spans="1:33" ht="63" thickBot="1" x14ac:dyDescent="0.35">
      <c r="A114" s="396"/>
      <c r="B114" s="502"/>
      <c r="C114" s="171" t="s">
        <v>193</v>
      </c>
      <c r="D114" s="167"/>
      <c r="E114" s="167"/>
      <c r="F114" s="168">
        <f t="shared" ref="F114:F124" si="17">D114+E114</f>
        <v>0</v>
      </c>
      <c r="G114" s="167"/>
      <c r="H114" s="167"/>
      <c r="I114" s="168">
        <f t="shared" si="15"/>
        <v>0</v>
      </c>
      <c r="J114" s="169"/>
      <c r="K114" s="169"/>
      <c r="L114" s="170">
        <f t="shared" si="16"/>
        <v>0</v>
      </c>
      <c r="M114" s="18"/>
      <c r="N114" s="18"/>
      <c r="O114" s="18"/>
      <c r="AA114" s="30" t="s">
        <v>84</v>
      </c>
      <c r="AB114" s="59">
        <f>SUM(I121:I124)</f>
        <v>0</v>
      </c>
    </row>
    <row r="115" spans="1:33" ht="31.8" thickBot="1" x14ac:dyDescent="0.35">
      <c r="A115" s="396"/>
      <c r="B115" s="502"/>
      <c r="C115" s="171" t="s">
        <v>194</v>
      </c>
      <c r="D115" s="167"/>
      <c r="E115" s="167"/>
      <c r="F115" s="168">
        <f t="shared" si="17"/>
        <v>0</v>
      </c>
      <c r="G115" s="167"/>
      <c r="H115" s="167"/>
      <c r="I115" s="168">
        <f t="shared" si="15"/>
        <v>0</v>
      </c>
      <c r="J115" s="169"/>
      <c r="K115" s="169"/>
      <c r="L115" s="170">
        <f t="shared" si="16"/>
        <v>0</v>
      </c>
      <c r="M115" s="18"/>
      <c r="N115" s="18"/>
      <c r="O115" s="18"/>
      <c r="AA115" s="30" t="s">
        <v>152</v>
      </c>
      <c r="AB115" s="59">
        <f>SUM(J121:J124)</f>
        <v>0</v>
      </c>
    </row>
    <row r="116" spans="1:33" ht="16.2" thickBot="1" x14ac:dyDescent="0.35">
      <c r="A116" s="396"/>
      <c r="B116" s="503"/>
      <c r="C116" s="172" t="s">
        <v>195</v>
      </c>
      <c r="D116" s="167"/>
      <c r="E116" s="167"/>
      <c r="F116" s="168">
        <f t="shared" si="17"/>
        <v>0</v>
      </c>
      <c r="G116" s="167"/>
      <c r="H116" s="167"/>
      <c r="I116" s="168">
        <f t="shared" si="15"/>
        <v>0</v>
      </c>
      <c r="J116" s="169"/>
      <c r="K116" s="169"/>
      <c r="L116" s="170">
        <f t="shared" si="16"/>
        <v>0</v>
      </c>
      <c r="M116" s="18"/>
      <c r="N116" s="18"/>
      <c r="O116" s="18"/>
      <c r="AA116" s="42" t="s">
        <v>155</v>
      </c>
      <c r="AB116" s="104">
        <f>SUM(K121:K124)</f>
        <v>0</v>
      </c>
    </row>
    <row r="117" spans="1:33" ht="47.4" thickBot="1" x14ac:dyDescent="0.35">
      <c r="A117" s="396"/>
      <c r="B117" s="415" t="s">
        <v>196</v>
      </c>
      <c r="C117" s="173" t="s">
        <v>192</v>
      </c>
      <c r="D117" s="174"/>
      <c r="E117" s="167"/>
      <c r="F117" s="168">
        <f t="shared" si="17"/>
        <v>0</v>
      </c>
      <c r="G117" s="167"/>
      <c r="H117" s="167"/>
      <c r="I117" s="168">
        <f t="shared" si="15"/>
        <v>0</v>
      </c>
      <c r="J117" s="169"/>
      <c r="K117" s="169"/>
      <c r="L117" s="170">
        <f t="shared" si="16"/>
        <v>0</v>
      </c>
      <c r="M117" s="18"/>
      <c r="N117" s="18"/>
      <c r="O117" s="18"/>
      <c r="AA117" s="23"/>
      <c r="AB117" s="23"/>
    </row>
    <row r="118" spans="1:33" ht="63" thickBot="1" x14ac:dyDescent="0.35">
      <c r="A118" s="396"/>
      <c r="B118" s="502"/>
      <c r="C118" s="171" t="s">
        <v>193</v>
      </c>
      <c r="D118" s="167"/>
      <c r="E118" s="167"/>
      <c r="F118" s="168">
        <f t="shared" si="17"/>
        <v>0</v>
      </c>
      <c r="G118" s="167"/>
      <c r="H118" s="167"/>
      <c r="I118" s="168">
        <f t="shared" si="15"/>
        <v>0</v>
      </c>
      <c r="J118" s="169"/>
      <c r="K118" s="169"/>
      <c r="L118" s="170">
        <f t="shared" si="16"/>
        <v>0</v>
      </c>
      <c r="M118" s="18"/>
      <c r="N118" s="18"/>
      <c r="O118" s="18"/>
      <c r="AA118" s="23"/>
      <c r="AB118" s="23"/>
    </row>
    <row r="119" spans="1:33" ht="31.8" thickBot="1" x14ac:dyDescent="0.35">
      <c r="A119" s="396"/>
      <c r="B119" s="502"/>
      <c r="C119" s="171" t="s">
        <v>194</v>
      </c>
      <c r="D119" s="167"/>
      <c r="E119" s="167"/>
      <c r="F119" s="168">
        <f t="shared" si="17"/>
        <v>0</v>
      </c>
      <c r="G119" s="167"/>
      <c r="H119" s="167"/>
      <c r="I119" s="168">
        <f t="shared" si="15"/>
        <v>0</v>
      </c>
      <c r="J119" s="169"/>
      <c r="K119" s="169"/>
      <c r="L119" s="170">
        <f t="shared" si="16"/>
        <v>0</v>
      </c>
      <c r="M119" s="18"/>
      <c r="N119" s="18"/>
      <c r="O119" s="18"/>
    </row>
    <row r="120" spans="1:33" ht="16.2" thickBot="1" x14ac:dyDescent="0.35">
      <c r="A120" s="396"/>
      <c r="B120" s="503"/>
      <c r="C120" s="172" t="s">
        <v>195</v>
      </c>
      <c r="D120" s="167"/>
      <c r="E120" s="167"/>
      <c r="F120" s="168">
        <f t="shared" si="17"/>
        <v>0</v>
      </c>
      <c r="G120" s="167"/>
      <c r="H120" s="167"/>
      <c r="I120" s="168">
        <f t="shared" si="15"/>
        <v>0</v>
      </c>
      <c r="J120" s="169"/>
      <c r="K120" s="169"/>
      <c r="L120" s="170">
        <f t="shared" si="16"/>
        <v>0</v>
      </c>
      <c r="M120" s="18"/>
      <c r="N120" s="18"/>
      <c r="O120" s="18"/>
    </row>
    <row r="121" spans="1:33" ht="47.4" thickBot="1" x14ac:dyDescent="0.35">
      <c r="A121" s="396"/>
      <c r="B121" s="415" t="s">
        <v>16</v>
      </c>
      <c r="C121" s="175" t="s">
        <v>192</v>
      </c>
      <c r="D121" s="170">
        <f t="shared" ref="D121:E124" si="18">D113+D117</f>
        <v>0</v>
      </c>
      <c r="E121" s="170">
        <f t="shared" si="18"/>
        <v>0</v>
      </c>
      <c r="F121" s="168">
        <f t="shared" si="17"/>
        <v>0</v>
      </c>
      <c r="G121" s="170">
        <f t="shared" ref="G121:H124" si="19">G113+G117</f>
        <v>0</v>
      </c>
      <c r="H121" s="170">
        <f t="shared" si="19"/>
        <v>0</v>
      </c>
      <c r="I121" s="168">
        <f t="shared" si="15"/>
        <v>0</v>
      </c>
      <c r="J121" s="170">
        <f t="shared" ref="J121:K124" si="20">J113+J117</f>
        <v>0</v>
      </c>
      <c r="K121" s="170">
        <f t="shared" si="20"/>
        <v>0</v>
      </c>
      <c r="L121" s="170">
        <f t="shared" si="16"/>
        <v>0</v>
      </c>
      <c r="M121" s="158"/>
      <c r="N121" s="158"/>
      <c r="O121" s="158"/>
    </row>
    <row r="122" spans="1:33" ht="63" thickBot="1" x14ac:dyDescent="0.35">
      <c r="A122" s="396"/>
      <c r="B122" s="436"/>
      <c r="C122" s="176" t="s">
        <v>193</v>
      </c>
      <c r="D122" s="170">
        <f t="shared" si="18"/>
        <v>0</v>
      </c>
      <c r="E122" s="170">
        <f t="shared" si="18"/>
        <v>0</v>
      </c>
      <c r="F122" s="168">
        <f t="shared" si="17"/>
        <v>0</v>
      </c>
      <c r="G122" s="170">
        <f t="shared" si="19"/>
        <v>0</v>
      </c>
      <c r="H122" s="170">
        <f t="shared" si="19"/>
        <v>0</v>
      </c>
      <c r="I122" s="168">
        <f t="shared" si="15"/>
        <v>0</v>
      </c>
      <c r="J122" s="170">
        <f t="shared" si="20"/>
        <v>0</v>
      </c>
      <c r="K122" s="170">
        <f t="shared" si="20"/>
        <v>0</v>
      </c>
      <c r="L122" s="170">
        <f t="shared" si="16"/>
        <v>0</v>
      </c>
      <c r="M122" s="158"/>
      <c r="N122" s="158"/>
      <c r="O122" s="158"/>
    </row>
    <row r="123" spans="1:33" ht="31.8" thickBot="1" x14ac:dyDescent="0.35">
      <c r="A123" s="396"/>
      <c r="B123" s="436"/>
      <c r="C123" s="176" t="s">
        <v>194</v>
      </c>
      <c r="D123" s="170">
        <f t="shared" si="18"/>
        <v>0</v>
      </c>
      <c r="E123" s="170">
        <f t="shared" si="18"/>
        <v>0</v>
      </c>
      <c r="F123" s="168">
        <f t="shared" si="17"/>
        <v>0</v>
      </c>
      <c r="G123" s="170">
        <f t="shared" si="19"/>
        <v>0</v>
      </c>
      <c r="H123" s="170">
        <f t="shared" si="19"/>
        <v>0</v>
      </c>
      <c r="I123" s="168">
        <f t="shared" si="15"/>
        <v>0</v>
      </c>
      <c r="J123" s="170">
        <f t="shared" si="20"/>
        <v>0</v>
      </c>
      <c r="K123" s="170">
        <f t="shared" si="20"/>
        <v>0</v>
      </c>
      <c r="L123" s="170">
        <f t="shared" si="16"/>
        <v>0</v>
      </c>
      <c r="M123" s="158"/>
      <c r="N123" s="158"/>
      <c r="O123" s="158"/>
    </row>
    <row r="124" spans="1:33" ht="16.2" thickBot="1" x14ac:dyDescent="0.35">
      <c r="A124" s="499"/>
      <c r="B124" s="437"/>
      <c r="C124" s="177" t="s">
        <v>195</v>
      </c>
      <c r="D124" s="170">
        <f t="shared" si="18"/>
        <v>0</v>
      </c>
      <c r="E124" s="170">
        <f t="shared" si="18"/>
        <v>0</v>
      </c>
      <c r="F124" s="168">
        <f t="shared" si="17"/>
        <v>0</v>
      </c>
      <c r="G124" s="170">
        <f t="shared" si="19"/>
        <v>0</v>
      </c>
      <c r="H124" s="170">
        <f t="shared" si="19"/>
        <v>0</v>
      </c>
      <c r="I124" s="168">
        <f t="shared" si="15"/>
        <v>0</v>
      </c>
      <c r="J124" s="170">
        <f t="shared" si="20"/>
        <v>0</v>
      </c>
      <c r="K124" s="170">
        <f t="shared" si="20"/>
        <v>0</v>
      </c>
      <c r="L124" s="170">
        <f t="shared" si="16"/>
        <v>0</v>
      </c>
      <c r="M124" s="158"/>
      <c r="N124" s="158"/>
      <c r="O124" s="158"/>
    </row>
    <row r="125" spans="1:33" ht="15.6" x14ac:dyDescent="0.3">
      <c r="A125" s="178" t="s">
        <v>197</v>
      </c>
    </row>
    <row r="126" spans="1:33" ht="31.5" customHeight="1" x14ac:dyDescent="0.3">
      <c r="A126" s="2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33" ht="12" customHeight="1" thickBot="1" x14ac:dyDescent="0.35">
      <c r="A127" s="56"/>
      <c r="B127" s="56"/>
      <c r="C127" s="27"/>
      <c r="D127" s="27"/>
      <c r="E127" s="27"/>
      <c r="F127" s="27"/>
      <c r="G127" s="27"/>
      <c r="H127" s="27"/>
      <c r="AA127" s="25"/>
      <c r="AB127" s="25"/>
      <c r="AF127" s="20"/>
      <c r="AG127" s="21"/>
    </row>
    <row r="128" spans="1:33" ht="35.549999999999997" customHeight="1" thickBot="1" x14ac:dyDescent="0.35">
      <c r="A128" s="504" t="s">
        <v>198</v>
      </c>
      <c r="B128" s="507" t="s">
        <v>199</v>
      </c>
      <c r="C128" s="510" t="s">
        <v>76</v>
      </c>
      <c r="D128" s="511"/>
      <c r="E128" s="511"/>
      <c r="F128" s="511"/>
      <c r="G128" s="512"/>
      <c r="AA128" s="485" t="s">
        <v>200</v>
      </c>
      <c r="AB128" s="486"/>
      <c r="AF128" s="20"/>
      <c r="AG128" s="21"/>
    </row>
    <row r="129" spans="1:33" ht="19.5" customHeight="1" x14ac:dyDescent="0.3">
      <c r="A129" s="505"/>
      <c r="B129" s="508"/>
      <c r="C129" s="492" t="s">
        <v>14</v>
      </c>
      <c r="D129" s="493"/>
      <c r="E129" s="407" t="s">
        <v>82</v>
      </c>
      <c r="F129" s="407" t="s">
        <v>83</v>
      </c>
      <c r="G129" s="407" t="s">
        <v>16</v>
      </c>
      <c r="I129" s="494" t="str">
        <f>IF(I143&lt;&gt;3,"Errors:","")</f>
        <v/>
      </c>
      <c r="AA129" s="179" t="s">
        <v>14</v>
      </c>
      <c r="AB129" s="180">
        <f>C142+D142</f>
        <v>0</v>
      </c>
      <c r="AF129" s="20"/>
      <c r="AG129" s="21"/>
    </row>
    <row r="130" spans="1:33" ht="12" customHeight="1" x14ac:dyDescent="0.3">
      <c r="A130" s="505"/>
      <c r="B130" s="508"/>
      <c r="C130" s="495" t="s">
        <v>20</v>
      </c>
      <c r="D130" s="497" t="s">
        <v>23</v>
      </c>
      <c r="E130" s="385"/>
      <c r="F130" s="385"/>
      <c r="G130" s="385"/>
      <c r="I130" s="494"/>
      <c r="AA130" s="30" t="s">
        <v>80</v>
      </c>
      <c r="AB130" s="31">
        <f>C142</f>
        <v>0</v>
      </c>
      <c r="AF130" s="20"/>
      <c r="AG130" s="21"/>
    </row>
    <row r="131" spans="1:33" ht="12" customHeight="1" x14ac:dyDescent="0.3">
      <c r="A131" s="505"/>
      <c r="B131" s="508"/>
      <c r="C131" s="496"/>
      <c r="D131" s="498"/>
      <c r="E131" s="385"/>
      <c r="F131" s="385"/>
      <c r="G131" s="385"/>
      <c r="I131" s="494"/>
      <c r="AA131" s="30" t="s">
        <v>84</v>
      </c>
      <c r="AB131" s="31">
        <f>D142</f>
        <v>0</v>
      </c>
      <c r="AF131" s="20"/>
      <c r="AG131" s="21"/>
    </row>
    <row r="132" spans="1:33" ht="12" customHeight="1" thickBot="1" x14ac:dyDescent="0.35">
      <c r="A132" s="505"/>
      <c r="B132" s="509"/>
      <c r="C132" s="496"/>
      <c r="D132" s="498"/>
      <c r="E132" s="385"/>
      <c r="F132" s="385"/>
      <c r="G132" s="385"/>
      <c r="I132" s="494"/>
      <c r="AA132" s="32" t="s">
        <v>90</v>
      </c>
      <c r="AB132" s="29">
        <f>E143</f>
        <v>0</v>
      </c>
      <c r="AF132" s="20"/>
      <c r="AG132" s="21"/>
    </row>
    <row r="133" spans="1:33" ht="35.1" customHeight="1" thickBot="1" x14ac:dyDescent="0.35">
      <c r="A133" s="505"/>
      <c r="B133" s="181" t="s">
        <v>201</v>
      </c>
      <c r="C133" s="39"/>
      <c r="D133" s="39"/>
      <c r="E133" s="39"/>
      <c r="F133" s="39"/>
      <c r="G133" s="182">
        <f>C133+D133+E133+F133</f>
        <v>0</v>
      </c>
      <c r="I133" s="2" t="str">
        <f>IF(AB130&lt;&gt;AB18,"Permanent teaching staff total (C129) does not correlate with Table 1 (D33)","")</f>
        <v/>
      </c>
      <c r="AA133" s="30" t="s">
        <v>202</v>
      </c>
      <c r="AB133" s="31">
        <f>E142</f>
        <v>0</v>
      </c>
      <c r="AF133" s="20"/>
      <c r="AG133" s="21"/>
    </row>
    <row r="134" spans="1:33" ht="35.1" customHeight="1" thickBot="1" x14ac:dyDescent="0.35">
      <c r="A134" s="505"/>
      <c r="B134" s="181" t="s">
        <v>203</v>
      </c>
      <c r="C134" s="39"/>
      <c r="D134" s="39"/>
      <c r="E134" s="39"/>
      <c r="F134" s="39"/>
      <c r="G134" s="182">
        <f t="shared" ref="G134:G141" si="21">C134+D134+E134+F134</f>
        <v>0</v>
      </c>
      <c r="I134" s="2" t="str">
        <f>IF(D142&lt;&gt;AB19,"Temporary teaching staff total (D129) does not correlate with Table 1 (E33)","")</f>
        <v/>
      </c>
      <c r="AA134" s="183" t="s">
        <v>83</v>
      </c>
      <c r="AB134" s="184">
        <f>F142</f>
        <v>0</v>
      </c>
      <c r="AF134" s="20"/>
      <c r="AG134" s="21"/>
    </row>
    <row r="135" spans="1:33" ht="35.1" customHeight="1" thickBot="1" x14ac:dyDescent="0.35">
      <c r="A135" s="505"/>
      <c r="B135" s="181" t="s">
        <v>204</v>
      </c>
      <c r="C135" s="185"/>
      <c r="D135" s="185"/>
      <c r="E135" s="185"/>
      <c r="F135" s="185"/>
      <c r="G135" s="186">
        <f t="shared" si="21"/>
        <v>0</v>
      </c>
      <c r="I135" s="2" t="str">
        <f>IF(E143&lt;&gt;F45,"Non-teaching staff total (D130) does not correlate with Table 1 (F33)","")</f>
        <v/>
      </c>
      <c r="AA135" s="42" t="s">
        <v>16</v>
      </c>
      <c r="AB135" s="43">
        <f>G142</f>
        <v>0</v>
      </c>
      <c r="AF135" s="20"/>
      <c r="AG135" s="21"/>
    </row>
    <row r="136" spans="1:33" ht="35.1" customHeight="1" thickBot="1" x14ac:dyDescent="0.35">
      <c r="A136" s="505"/>
      <c r="B136" s="181" t="s">
        <v>205</v>
      </c>
      <c r="C136" s="39"/>
      <c r="D136" s="39"/>
      <c r="E136" s="39"/>
      <c r="F136" s="39"/>
      <c r="G136" s="182">
        <f t="shared" si="21"/>
        <v>0</v>
      </c>
      <c r="AA136" s="25"/>
      <c r="AB136" s="24"/>
      <c r="AF136" s="20"/>
      <c r="AG136" s="21"/>
    </row>
    <row r="137" spans="1:33" ht="35.1" customHeight="1" thickBot="1" x14ac:dyDescent="0.35">
      <c r="A137" s="505"/>
      <c r="B137" s="181" t="s">
        <v>206</v>
      </c>
      <c r="C137" s="39"/>
      <c r="D137" s="39"/>
      <c r="E137" s="39"/>
      <c r="F137" s="39"/>
      <c r="G137" s="182">
        <f t="shared" si="21"/>
        <v>0</v>
      </c>
      <c r="AA137" s="25"/>
      <c r="AB137" s="25"/>
      <c r="AF137" s="20"/>
      <c r="AG137" s="21"/>
    </row>
    <row r="138" spans="1:33" ht="35.1" customHeight="1" thickBot="1" x14ac:dyDescent="0.35">
      <c r="A138" s="505"/>
      <c r="B138" s="187" t="s">
        <v>207</v>
      </c>
      <c r="C138" s="185"/>
      <c r="D138" s="185"/>
      <c r="E138" s="185"/>
      <c r="F138" s="39"/>
      <c r="G138" s="186">
        <f t="shared" si="21"/>
        <v>0</v>
      </c>
      <c r="AA138" s="25"/>
      <c r="AB138" s="25"/>
      <c r="AF138" s="20"/>
      <c r="AG138" s="21"/>
    </row>
    <row r="139" spans="1:33" ht="35.1" customHeight="1" thickBot="1" x14ac:dyDescent="0.35">
      <c r="A139" s="505"/>
      <c r="B139" s="188" t="s">
        <v>208</v>
      </c>
      <c r="C139" s="189"/>
      <c r="D139" s="189"/>
      <c r="E139" s="185"/>
      <c r="F139" s="39"/>
      <c r="G139" s="186">
        <f t="shared" si="21"/>
        <v>0</v>
      </c>
      <c r="AA139" s="25"/>
      <c r="AB139" s="25"/>
      <c r="AF139" s="20"/>
      <c r="AG139" s="21"/>
    </row>
    <row r="140" spans="1:33" ht="35.1" customHeight="1" thickBot="1" x14ac:dyDescent="0.35">
      <c r="A140" s="505"/>
      <c r="B140" s="188" t="s">
        <v>209</v>
      </c>
      <c r="C140" s="189"/>
      <c r="D140" s="185"/>
      <c r="E140" s="185"/>
      <c r="F140" s="39"/>
      <c r="G140" s="182">
        <f>C140+D140+E140+F140</f>
        <v>0</v>
      </c>
      <c r="AA140" s="25"/>
      <c r="AB140" s="25"/>
      <c r="AF140" s="20"/>
      <c r="AG140" s="21"/>
    </row>
    <row r="141" spans="1:33" ht="35.1" customHeight="1" thickBot="1" x14ac:dyDescent="0.35">
      <c r="A141" s="505"/>
      <c r="B141" s="188" t="s">
        <v>210</v>
      </c>
      <c r="C141" s="189"/>
      <c r="D141" s="185"/>
      <c r="E141" s="185"/>
      <c r="F141" s="39"/>
      <c r="G141" s="182">
        <f t="shared" si="21"/>
        <v>0</v>
      </c>
      <c r="AA141" s="25"/>
      <c r="AB141" s="25"/>
      <c r="AF141" s="20"/>
      <c r="AG141" s="21"/>
    </row>
    <row r="142" spans="1:33" ht="35.1" customHeight="1" thickBot="1" x14ac:dyDescent="0.35">
      <c r="A142" s="506"/>
      <c r="B142" s="190" t="s">
        <v>16</v>
      </c>
      <c r="C142" s="191">
        <f>SUM(C133:C141)</f>
        <v>0</v>
      </c>
      <c r="D142" s="191">
        <f t="shared" ref="D142:F142" si="22">SUM(D133:D141)</f>
        <v>0</v>
      </c>
      <c r="E142" s="191">
        <f t="shared" si="22"/>
        <v>0</v>
      </c>
      <c r="F142" s="191">
        <f t="shared" si="22"/>
        <v>0</v>
      </c>
      <c r="G142" s="192">
        <f>SUM(C142:F142)</f>
        <v>0</v>
      </c>
      <c r="AA142" s="25"/>
      <c r="AB142" s="25"/>
      <c r="AF142" s="20"/>
      <c r="AG142" s="21"/>
    </row>
    <row r="143" spans="1:33" ht="16.2" thickBot="1" x14ac:dyDescent="0.35">
      <c r="A143" s="14"/>
      <c r="B143" s="193"/>
      <c r="C143" s="534">
        <f>C142:D142</f>
        <v>0</v>
      </c>
      <c r="D143" s="534"/>
      <c r="E143" s="518">
        <f>E142+F142</f>
        <v>0</v>
      </c>
      <c r="F143" s="519"/>
      <c r="G143" s="194"/>
      <c r="H143" s="18"/>
      <c r="I143" s="195">
        <f>COUNTIF(I133:I135,"")</f>
        <v>3</v>
      </c>
      <c r="J143" s="18"/>
      <c r="K143" s="18"/>
      <c r="L143" s="18"/>
      <c r="M143" s="18"/>
      <c r="N143" s="18"/>
      <c r="O143" s="18"/>
      <c r="P143" s="18"/>
      <c r="Q143" s="18"/>
    </row>
    <row r="144" spans="1:33" ht="16.2" thickBot="1" x14ac:dyDescent="0.35">
      <c r="A144" s="2"/>
    </row>
    <row r="145" spans="1:11" ht="15.6" hidden="1" x14ac:dyDescent="0.3">
      <c r="A145" s="2"/>
      <c r="G145" s="2">
        <f>G146</f>
        <v>0</v>
      </c>
      <c r="K145" s="2">
        <f>LARGE(H149:H189,2)</f>
        <v>0</v>
      </c>
    </row>
    <row r="146" spans="1:11" ht="15.6" hidden="1" x14ac:dyDescent="0.3">
      <c r="A146" s="2"/>
      <c r="G146" s="2">
        <f>COUNTIF(G149:G189,1)</f>
        <v>0</v>
      </c>
      <c r="K146" s="2">
        <f>MAX(H149:H189)</f>
        <v>0</v>
      </c>
    </row>
    <row r="147" spans="1:11" ht="15.6" hidden="1" x14ac:dyDescent="0.3">
      <c r="A147" s="2"/>
    </row>
    <row r="148" spans="1:11" ht="16.2" hidden="1" thickBot="1" x14ac:dyDescent="0.35">
      <c r="A148" s="2"/>
      <c r="H148" s="196" t="s">
        <v>26</v>
      </c>
    </row>
    <row r="149" spans="1:11" ht="15.6" hidden="1" x14ac:dyDescent="0.3">
      <c r="A149" s="513" t="s">
        <v>211</v>
      </c>
      <c r="B149" s="522" t="s">
        <v>20</v>
      </c>
      <c r="C149" s="197" t="s">
        <v>54</v>
      </c>
      <c r="D149" s="198">
        <f>IF(AB18=AB49,0,1)</f>
        <v>0</v>
      </c>
      <c r="E149" s="198" t="str">
        <f>IF(AB18=AB49," ","ERROR: Permanent teaching staff headcount in table 1 and table 2 do not match.  Check D31 to D32 and S47 to Y48.")</f>
        <v xml:space="preserve"> </v>
      </c>
      <c r="G149" s="2" t="str">
        <f>IF(H149=0," ",1)</f>
        <v xml:space="preserve"> </v>
      </c>
      <c r="H149" s="2">
        <f>IF(AB18=AB49,0,1)</f>
        <v>0</v>
      </c>
      <c r="I149" s="2">
        <v>1</v>
      </c>
      <c r="J149" s="2" t="s">
        <v>212</v>
      </c>
    </row>
    <row r="150" spans="1:11" ht="15.6" hidden="1" x14ac:dyDescent="0.25">
      <c r="A150" s="520"/>
      <c r="B150" s="523"/>
      <c r="C150" s="199" t="s">
        <v>213</v>
      </c>
      <c r="D150" s="200">
        <f>IF(AB49=AB81,0,1)</f>
        <v>0</v>
      </c>
      <c r="E150" s="200" t="str">
        <f>IF(AB49=AB81," ","ERROR: Permanent teaching staff headcount in table 2 and table 3 do not match.  Check S47 to Y48 and S78 to Y79.")</f>
        <v xml:space="preserve"> </v>
      </c>
      <c r="F150" s="201"/>
      <c r="G150" s="2" t="str">
        <f>IF(H150=0," ",1)</f>
        <v xml:space="preserve"> </v>
      </c>
      <c r="H150" s="2">
        <f>IF(AB49=AB81,0,2)</f>
        <v>0</v>
      </c>
      <c r="I150" s="2">
        <v>2</v>
      </c>
      <c r="J150" s="2" t="s">
        <v>214</v>
      </c>
    </row>
    <row r="151" spans="1:11" ht="16.2" hidden="1" thickBot="1" x14ac:dyDescent="0.3">
      <c r="A151" s="520"/>
      <c r="B151" s="524"/>
      <c r="C151" s="202" t="s">
        <v>215</v>
      </c>
      <c r="D151" s="203">
        <f>IF(AB81=AB113,0,1)</f>
        <v>0</v>
      </c>
      <c r="E151" s="203" t="str">
        <f>IF(AB81=AB113," ","ERROR: Permanent teaching staff headcount in table 3 and table 4 do not match.  Check S78 to Y79 and F109 to F112.")</f>
        <v xml:space="preserve"> </v>
      </c>
      <c r="F151" s="201"/>
      <c r="G151" s="2" t="str">
        <f t="shared" ref="G151:G185" si="23">IF(H151=0," ",1)</f>
        <v xml:space="preserve"> </v>
      </c>
      <c r="H151" s="2">
        <f>IF(AB81=AB113,0,3)</f>
        <v>0</v>
      </c>
      <c r="I151" s="2">
        <v>3</v>
      </c>
      <c r="J151" s="2" t="s">
        <v>216</v>
      </c>
    </row>
    <row r="152" spans="1:11" ht="15.6" hidden="1" x14ac:dyDescent="0.25">
      <c r="A152" s="520"/>
      <c r="B152" s="525" t="s">
        <v>23</v>
      </c>
      <c r="C152" s="204" t="s">
        <v>54</v>
      </c>
      <c r="D152" s="205">
        <f>IF(AB19=AB52,0,1)</f>
        <v>0</v>
      </c>
      <c r="E152" s="198" t="str">
        <f>IF(AB19=AB52," ","ERROR: Temporary teaching staff headcount in table 1 and table 2 do not match.  Check E31 to E32 and S49 to Y50.")</f>
        <v xml:space="preserve"> </v>
      </c>
      <c r="F152" s="201"/>
      <c r="G152" s="2" t="str">
        <f t="shared" si="23"/>
        <v xml:space="preserve"> </v>
      </c>
      <c r="H152" s="2">
        <f>IF(AB19=AB52,0,4)</f>
        <v>0</v>
      </c>
      <c r="I152" s="2">
        <v>4</v>
      </c>
      <c r="J152" s="2" t="s">
        <v>217</v>
      </c>
    </row>
    <row r="153" spans="1:11" ht="15.6" hidden="1" x14ac:dyDescent="0.25">
      <c r="A153" s="520"/>
      <c r="B153" s="526"/>
      <c r="C153" s="206" t="s">
        <v>213</v>
      </c>
      <c r="D153" s="205">
        <f>IF(AB52=AB82,0,1)</f>
        <v>0</v>
      </c>
      <c r="E153" s="200" t="str">
        <f>IF(AB52=AB82," ","ERROR: Temporary teaching staff headcount in table 2 and table 3 do not match.  Check S49 to Y50 and S80 to Y81.")</f>
        <v xml:space="preserve"> </v>
      </c>
      <c r="F153" s="201"/>
      <c r="G153" s="2" t="str">
        <f t="shared" si="23"/>
        <v xml:space="preserve"> </v>
      </c>
      <c r="H153" s="2">
        <f>IF(AB52=AB82,0,5)</f>
        <v>0</v>
      </c>
      <c r="I153" s="2">
        <v>5</v>
      </c>
      <c r="J153" s="2" t="s">
        <v>218</v>
      </c>
    </row>
    <row r="154" spans="1:11" ht="16.2" hidden="1" thickBot="1" x14ac:dyDescent="0.3">
      <c r="A154" s="520"/>
      <c r="B154" s="526"/>
      <c r="C154" s="207" t="s">
        <v>215</v>
      </c>
      <c r="D154" s="208">
        <f>IF(AB82=AB114,0,1)</f>
        <v>0</v>
      </c>
      <c r="E154" s="209" t="str">
        <f>IF(AB82=AB114," ","ERROR: Temporary teaching staff headcount in table 3 and table 4 do not match.  Check S80 to Y81 and I109 to I112.")</f>
        <v xml:space="preserve"> </v>
      </c>
      <c r="F154" s="201"/>
      <c r="G154" s="2" t="str">
        <f>IF(H154=0," ",1)</f>
        <v xml:space="preserve"> </v>
      </c>
      <c r="H154" s="2">
        <f>IF(AB82=AB114,0,6)</f>
        <v>0</v>
      </c>
      <c r="I154" s="2">
        <v>6</v>
      </c>
      <c r="J154" s="2" t="s">
        <v>219</v>
      </c>
    </row>
    <row r="155" spans="1:11" ht="15.6" hidden="1" x14ac:dyDescent="0.25">
      <c r="A155" s="520"/>
      <c r="B155" s="513" t="s">
        <v>93</v>
      </c>
      <c r="C155" s="204" t="s">
        <v>54</v>
      </c>
      <c r="D155" s="210">
        <f>IF(AB20=AB57,0,1)</f>
        <v>0</v>
      </c>
      <c r="E155" s="198" t="str">
        <f>IF(AB20=AB57," ","ERROR: Male teaching staff headcount in table 1 and table 2 do not match.  Check D31 to E31 as well as S47 to Y47 and S49 to Y49.")</f>
        <v xml:space="preserve"> </v>
      </c>
      <c r="F155" s="201"/>
      <c r="G155" s="2" t="str">
        <f>IF(H155=0," ",1)</f>
        <v xml:space="preserve"> </v>
      </c>
      <c r="H155" s="2">
        <f>IF(AB20=AB57,0,7)</f>
        <v>0</v>
      </c>
      <c r="I155" s="2">
        <v>7</v>
      </c>
      <c r="J155" s="2" t="s">
        <v>220</v>
      </c>
    </row>
    <row r="156" spans="1:11" ht="16.2" hidden="1" thickBot="1" x14ac:dyDescent="0.3">
      <c r="A156" s="520"/>
      <c r="B156" s="527"/>
      <c r="C156" s="207" t="s">
        <v>213</v>
      </c>
      <c r="D156" s="208">
        <f>IF(AB57=AB85,0,1)</f>
        <v>0</v>
      </c>
      <c r="E156" s="209" t="str">
        <f>IF(AB57=AB85," ","ERROR: Male teaching staff headcount in table 2 and table 3 do not match.  Check S47 to Y47 and S49 to Y49 as well as S78 to Y78 and S80 to Y80.")</f>
        <v xml:space="preserve"> </v>
      </c>
      <c r="F156" s="201"/>
      <c r="G156" s="2" t="str">
        <f t="shared" si="23"/>
        <v xml:space="preserve"> </v>
      </c>
      <c r="H156" s="2">
        <f>IF(AB57=AB85,0,8)</f>
        <v>0</v>
      </c>
      <c r="I156" s="2">
        <v>8</v>
      </c>
      <c r="J156" s="2" t="s">
        <v>221</v>
      </c>
    </row>
    <row r="157" spans="1:11" ht="15.6" hidden="1" x14ac:dyDescent="0.25">
      <c r="A157" s="520"/>
      <c r="B157" s="513" t="s">
        <v>94</v>
      </c>
      <c r="C157" s="204" t="s">
        <v>54</v>
      </c>
      <c r="D157" s="9">
        <f>IF(AB21=AB58,0,1)</f>
        <v>0</v>
      </c>
      <c r="E157" s="198" t="str">
        <f>IF(AB21=AB58," ","ERROR: Female teaching staff headcount in table 1 and table 2 do not match.  Check D32 to E32 as well as S48 to Y48 and S50 to Y50.")</f>
        <v xml:space="preserve"> </v>
      </c>
      <c r="F157" s="201"/>
      <c r="G157" s="2" t="str">
        <f t="shared" si="23"/>
        <v xml:space="preserve"> </v>
      </c>
      <c r="H157" s="2">
        <f>IF(AB21=AB58,0,9)</f>
        <v>0</v>
      </c>
      <c r="I157" s="2">
        <v>9</v>
      </c>
      <c r="J157" s="2" t="s">
        <v>222</v>
      </c>
    </row>
    <row r="158" spans="1:11" ht="16.2" hidden="1" thickBot="1" x14ac:dyDescent="0.3">
      <c r="A158" s="520"/>
      <c r="B158" s="527"/>
      <c r="C158" s="207" t="s">
        <v>213</v>
      </c>
      <c r="D158" s="208">
        <f>IF(AB58=AB86,0,1)</f>
        <v>0</v>
      </c>
      <c r="E158" s="203" t="str">
        <f>IF(AB58=AB86," ","ERROR: Female teaching staff headcount in table 2 and table 3 do not match.  Check S48 to Y48 and S50 to Y50 as well as S79 to Y79 and S81 to Y81.")</f>
        <v xml:space="preserve"> </v>
      </c>
      <c r="F158" s="201"/>
      <c r="G158" s="2" t="str">
        <f t="shared" si="23"/>
        <v xml:space="preserve"> </v>
      </c>
      <c r="H158" s="2">
        <f>IF(AB58=AB86,0,10)</f>
        <v>0</v>
      </c>
      <c r="I158" s="2">
        <v>10</v>
      </c>
      <c r="J158" s="2" t="s">
        <v>223</v>
      </c>
    </row>
    <row r="159" spans="1:11" ht="15.6" hidden="1" x14ac:dyDescent="0.25">
      <c r="A159" s="520"/>
      <c r="B159" s="525" t="s">
        <v>21</v>
      </c>
      <c r="C159" s="204" t="s">
        <v>213</v>
      </c>
      <c r="D159" s="211">
        <f>IF(AB55=AB83,0,1)</f>
        <v>0</v>
      </c>
      <c r="E159" s="212" t="str">
        <f>IF(AB55=AB83," ","ERROR: Full-time teaching staff headcount in table 2 and table 3 do not match.  Check S39 to Y42 and S70 to Y73.")</f>
        <v xml:space="preserve"> </v>
      </c>
      <c r="F159" s="201"/>
      <c r="G159" s="2" t="str">
        <f>IF(H159=0," ",1)</f>
        <v xml:space="preserve"> </v>
      </c>
      <c r="H159" s="2">
        <f>IF(AB55=AB83,0,11)</f>
        <v>0</v>
      </c>
      <c r="I159" s="2">
        <v>11</v>
      </c>
      <c r="J159" s="2" t="s">
        <v>224</v>
      </c>
    </row>
    <row r="160" spans="1:11" ht="16.2" hidden="1" thickBot="1" x14ac:dyDescent="0.3">
      <c r="A160" s="520"/>
      <c r="B160" s="529"/>
      <c r="C160" s="213" t="s">
        <v>215</v>
      </c>
      <c r="D160" s="214">
        <f>IF(AB83=AB115,0,1)</f>
        <v>0</v>
      </c>
      <c r="E160" s="203" t="str">
        <f>IF(AB83=AB115," ","ERROR: Full-time teaching staff headcount in table 3 and table 4 do not match.  Check S70 to Y73 and J109 to J112.")</f>
        <v xml:space="preserve"> </v>
      </c>
      <c r="F160" s="201"/>
      <c r="G160" s="2" t="str">
        <f>IF(H160=0," ",1)</f>
        <v xml:space="preserve"> </v>
      </c>
      <c r="H160" s="2">
        <f>IF(AB83=AB115,0,12)</f>
        <v>0</v>
      </c>
      <c r="I160" s="2">
        <v>12</v>
      </c>
      <c r="J160" s="2" t="s">
        <v>225</v>
      </c>
    </row>
    <row r="161" spans="1:10" ht="15.6" hidden="1" x14ac:dyDescent="0.25">
      <c r="A161" s="520"/>
      <c r="B161" s="528" t="s">
        <v>24</v>
      </c>
      <c r="C161" s="204" t="s">
        <v>213</v>
      </c>
      <c r="D161" s="215">
        <f>IF(AB56=AB84,0,1)</f>
        <v>0</v>
      </c>
      <c r="E161" s="198" t="str">
        <f>IF(AB56=AB84," ","ERROR: Part-time teaching staff headcount in table 2 and table 3 do not match.  Check S43 to Y46 and S74 to Y77.")</f>
        <v xml:space="preserve"> </v>
      </c>
      <c r="F161" s="201"/>
      <c r="G161" s="2" t="str">
        <f>IF(H161=0," ",1)</f>
        <v xml:space="preserve"> </v>
      </c>
      <c r="H161" s="2">
        <f>IF(AB56=AB84,0,13)</f>
        <v>0</v>
      </c>
      <c r="I161" s="2">
        <v>13</v>
      </c>
      <c r="J161" s="2" t="s">
        <v>226</v>
      </c>
    </row>
    <row r="162" spans="1:10" ht="16.2" hidden="1" thickBot="1" x14ac:dyDescent="0.3">
      <c r="A162" s="520"/>
      <c r="B162" s="529"/>
      <c r="C162" s="207" t="s">
        <v>215</v>
      </c>
      <c r="D162" s="216">
        <f>IF(AB84=AB116,0,1)</f>
        <v>0</v>
      </c>
      <c r="E162" s="203" t="str">
        <f>IF(AB84=AB116," ","ERROR: Part-time teaching staff headcount in table 3 and table 4 do not match.  Check S74 to Y77 and K109 to K112.")</f>
        <v xml:space="preserve"> </v>
      </c>
      <c r="F162" s="201"/>
      <c r="G162" s="2" t="str">
        <f>IF(H162=0," ",1)</f>
        <v xml:space="preserve"> </v>
      </c>
      <c r="H162" s="2">
        <f>IF(AB84=AB116,0,14)</f>
        <v>0</v>
      </c>
      <c r="I162" s="2">
        <v>14</v>
      </c>
      <c r="J162" s="2" t="s">
        <v>227</v>
      </c>
    </row>
    <row r="163" spans="1:10" ht="15.6" hidden="1" x14ac:dyDescent="0.25">
      <c r="A163" s="520"/>
      <c r="B163" s="217" t="s">
        <v>228</v>
      </c>
      <c r="C163" s="218" t="s">
        <v>213</v>
      </c>
      <c r="D163" s="211">
        <f>IF(AB59=AB87,0,1)</f>
        <v>0</v>
      </c>
      <c r="E163" s="212" t="str">
        <f>IF(AB59=AB87," ","ERROR: Teaching staff paid £15,000 or less headcount in table 2 and table 3 do not match.  Check S47 to S50 and S78 to S81.")</f>
        <v xml:space="preserve"> </v>
      </c>
      <c r="F163" s="201"/>
      <c r="G163" s="2" t="str">
        <f t="shared" si="23"/>
        <v xml:space="preserve"> </v>
      </c>
      <c r="H163" s="2">
        <f>IF(AB59=AB87,0,15)</f>
        <v>0</v>
      </c>
      <c r="I163" s="2">
        <v>15</v>
      </c>
      <c r="J163" s="2" t="s">
        <v>229</v>
      </c>
    </row>
    <row r="164" spans="1:10" ht="15.6" hidden="1" x14ac:dyDescent="0.25">
      <c r="A164" s="520"/>
      <c r="B164" s="219" t="s">
        <v>130</v>
      </c>
      <c r="C164" s="218" t="s">
        <v>213</v>
      </c>
      <c r="D164" s="220">
        <f>IF(AB60=AB88,0,1)</f>
        <v>0</v>
      </c>
      <c r="E164" s="200" t="str">
        <f>IF(AB60=AB88," ","ERROR: Teaching staff paid £15,001 to £20,000 headcount in table 2 and table 3 do not match.  Check T47 to T50 and T78 to T81.")</f>
        <v xml:space="preserve"> </v>
      </c>
      <c r="F164" s="201"/>
      <c r="G164" s="2" t="str">
        <f t="shared" si="23"/>
        <v xml:space="preserve"> </v>
      </c>
      <c r="H164" s="2">
        <f>IF(AB60=AB88,0,16)</f>
        <v>0</v>
      </c>
      <c r="I164" s="2">
        <v>16</v>
      </c>
      <c r="J164" s="2" t="s">
        <v>230</v>
      </c>
    </row>
    <row r="165" spans="1:10" ht="15.6" hidden="1" x14ac:dyDescent="0.25">
      <c r="A165" s="520"/>
      <c r="B165" s="219" t="s">
        <v>131</v>
      </c>
      <c r="C165" s="218" t="s">
        <v>213</v>
      </c>
      <c r="D165" s="220">
        <f>IF(AB61=AB89,0,1)</f>
        <v>0</v>
      </c>
      <c r="E165" s="200" t="str">
        <f>IF(AB61=AB89," ","ERROR: Teaching staff paid £20,001 to £30,000 headcount in table 2 and table 3 do not match.  Check U47 to U50 and U78 to U81.")</f>
        <v xml:space="preserve"> </v>
      </c>
      <c r="F165" s="201"/>
      <c r="G165" s="2" t="str">
        <f t="shared" si="23"/>
        <v xml:space="preserve"> </v>
      </c>
      <c r="H165" s="2">
        <f>IF(AB61=AB89,0,17)</f>
        <v>0</v>
      </c>
      <c r="I165" s="2">
        <v>17</v>
      </c>
      <c r="J165" s="2" t="s">
        <v>231</v>
      </c>
    </row>
    <row r="166" spans="1:10" ht="15.6" hidden="1" x14ac:dyDescent="0.25">
      <c r="A166" s="520"/>
      <c r="B166" s="219" t="s">
        <v>132</v>
      </c>
      <c r="C166" s="218" t="s">
        <v>213</v>
      </c>
      <c r="D166" s="220">
        <f>IF(AB62=AB90,0,1)</f>
        <v>0</v>
      </c>
      <c r="E166" s="200" t="str">
        <f>IF(AB62=AB90," ","ERROR: Teaching staff paid £30,001 to £50,000 headcount in table 2 and table 3 do not match.  Check V47 to V50 and V78 to V81.")</f>
        <v xml:space="preserve"> </v>
      </c>
      <c r="F166" s="201"/>
      <c r="G166" s="2" t="str">
        <f t="shared" si="23"/>
        <v xml:space="preserve"> </v>
      </c>
      <c r="H166" s="2">
        <f>IF(AB62=AB90,0,18)</f>
        <v>0</v>
      </c>
      <c r="I166" s="2">
        <v>18</v>
      </c>
      <c r="J166" s="2" t="s">
        <v>232</v>
      </c>
    </row>
    <row r="167" spans="1:10" ht="15.6" hidden="1" x14ac:dyDescent="0.25">
      <c r="A167" s="520"/>
      <c r="B167" s="219" t="s">
        <v>133</v>
      </c>
      <c r="C167" s="218" t="s">
        <v>213</v>
      </c>
      <c r="D167" s="220">
        <f>IF(AB64=AB91,0,1)</f>
        <v>0</v>
      </c>
      <c r="E167" s="200" t="str">
        <f>IF(AB64=AB91," ","ERROR:Teaching staff paid £50,001 to £75,000 headcount in table 2 and table 3 do not match.  Check W47 to W50 and W78 to W81.")</f>
        <v xml:space="preserve"> </v>
      </c>
      <c r="F167" s="201"/>
      <c r="G167" s="2" t="str">
        <f t="shared" si="23"/>
        <v xml:space="preserve"> </v>
      </c>
      <c r="H167" s="2">
        <f>IF(AB64=AB91,0,19)</f>
        <v>0</v>
      </c>
      <c r="I167" s="2">
        <v>19</v>
      </c>
      <c r="J167" s="2" t="s">
        <v>233</v>
      </c>
    </row>
    <row r="168" spans="1:10" ht="15.6" hidden="1" x14ac:dyDescent="0.25">
      <c r="A168" s="520"/>
      <c r="B168" s="219" t="s">
        <v>136</v>
      </c>
      <c r="C168" s="218" t="s">
        <v>213</v>
      </c>
      <c r="D168" s="220">
        <f>IF(AB65=AB92,0,1)</f>
        <v>0</v>
      </c>
      <c r="E168" s="200" t="str">
        <f>IF(AB65=AB92," ","ERROR: Teaching staff paid £75,001 to £100,000 headcount in table 2 and table 3 do not match.  Check X47 to X50 and X78 to X81.")</f>
        <v xml:space="preserve"> </v>
      </c>
      <c r="F168" s="201"/>
      <c r="G168" s="2" t="str">
        <f t="shared" si="23"/>
        <v xml:space="preserve"> </v>
      </c>
      <c r="H168" s="2">
        <f>IF(AB65=AB92,0,20)</f>
        <v>0</v>
      </c>
      <c r="I168" s="2">
        <v>20</v>
      </c>
      <c r="J168" s="2" t="s">
        <v>234</v>
      </c>
    </row>
    <row r="169" spans="1:10" ht="16.2" hidden="1" thickBot="1" x14ac:dyDescent="0.3">
      <c r="A169" s="521"/>
      <c r="B169" s="221" t="s">
        <v>235</v>
      </c>
      <c r="C169" s="222" t="s">
        <v>213</v>
      </c>
      <c r="D169" s="214">
        <f>IF(AB66=AB93,0,1)</f>
        <v>0</v>
      </c>
      <c r="E169" s="209" t="str">
        <f>IF(AB66=AB93," ","ERROR: Teaching staff paid greater than £100,000 headcount in table 2 and table 3 do not match.  Check Y47 to Y50 and Y78 to Y81.")</f>
        <v xml:space="preserve"> </v>
      </c>
      <c r="F169" s="201"/>
      <c r="G169" s="2" t="str">
        <f t="shared" si="23"/>
        <v xml:space="preserve"> </v>
      </c>
      <c r="H169" s="2">
        <f>IF(AB66=AB93,0,21)</f>
        <v>0</v>
      </c>
      <c r="I169" s="2">
        <v>21</v>
      </c>
      <c r="J169" s="2" t="s">
        <v>236</v>
      </c>
    </row>
    <row r="170" spans="1:10" ht="16.2" hidden="1" thickBot="1" x14ac:dyDescent="0.35">
      <c r="A170" s="522" t="s">
        <v>237</v>
      </c>
      <c r="B170" s="223" t="s">
        <v>20</v>
      </c>
      <c r="C170" s="224" t="s">
        <v>213</v>
      </c>
      <c r="D170" s="225">
        <f>IF(AD49=AD81,0,1)</f>
        <v>0</v>
      </c>
      <c r="E170" s="226" t="str">
        <f>IF(AD49=AD81," ","ERROR: Permanent non-teaching staff headcount in table 2 and table 3 do not match.  Check S60 to Y61 and S91 to Y92.")</f>
        <v xml:space="preserve"> </v>
      </c>
      <c r="G170" s="2" t="str">
        <f>IF(H170=0," ",1)</f>
        <v xml:space="preserve"> </v>
      </c>
      <c r="H170" s="2">
        <f>IF(AD49=AD81,0,22)</f>
        <v>0</v>
      </c>
      <c r="I170" s="2">
        <v>22</v>
      </c>
      <c r="J170" s="2" t="s">
        <v>238</v>
      </c>
    </row>
    <row r="171" spans="1:10" ht="16.2" hidden="1" thickBot="1" x14ac:dyDescent="0.35">
      <c r="A171" s="530"/>
      <c r="B171" s="223" t="s">
        <v>23</v>
      </c>
      <c r="C171" s="227" t="s">
        <v>213</v>
      </c>
      <c r="D171" s="228">
        <f>IF(AD52=AD82,0,1)</f>
        <v>0</v>
      </c>
      <c r="E171" s="229" t="str">
        <f>IF(AD52=AD82," ","ERROR: Temporary non-teaching staff headcount in table 2 and table 3 do not match.  Check S62 to Y63 and S93 to Y94.")</f>
        <v xml:space="preserve"> </v>
      </c>
      <c r="G171" s="2" t="str">
        <f t="shared" si="23"/>
        <v xml:space="preserve"> </v>
      </c>
      <c r="H171" s="2">
        <f>IF(AD52=AD82,0,23)</f>
        <v>0</v>
      </c>
      <c r="I171" s="2">
        <v>23</v>
      </c>
      <c r="J171" s="2" t="s">
        <v>239</v>
      </c>
    </row>
    <row r="172" spans="1:10" ht="15.6" hidden="1" x14ac:dyDescent="0.3">
      <c r="A172" s="530"/>
      <c r="B172" s="528" t="s">
        <v>93</v>
      </c>
      <c r="C172" s="197" t="s">
        <v>54</v>
      </c>
      <c r="D172" s="8">
        <f>IF(AB35=AD57,0,1)</f>
        <v>0</v>
      </c>
      <c r="E172" s="198" t="str">
        <f>IF(AB35=AD57," ","ERROR: Male non-teaching staff headcount in table 1 and table 2 do not match.  Check F31 to G31 as well as S60 to Y60 and S62 to Y62.")</f>
        <v xml:space="preserve"> </v>
      </c>
      <c r="G172" s="2" t="str">
        <f t="shared" si="23"/>
        <v xml:space="preserve"> </v>
      </c>
      <c r="H172" s="2">
        <f>IF(AB35=AD57,0,24)</f>
        <v>0</v>
      </c>
      <c r="I172" s="2">
        <v>24</v>
      </c>
      <c r="J172" s="2" t="s">
        <v>240</v>
      </c>
    </row>
    <row r="173" spans="1:10" ht="16.2" hidden="1" thickBot="1" x14ac:dyDescent="0.35">
      <c r="A173" s="530"/>
      <c r="B173" s="533"/>
      <c r="C173" s="230" t="s">
        <v>213</v>
      </c>
      <c r="D173" s="231">
        <f>IF(AD57=AD85,0,1)</f>
        <v>0</v>
      </c>
      <c r="E173" s="203" t="str">
        <f>IF(AD57=AD85," ","ERROR: Male non-teaching staff headcount in table 2 and table 3 do not match.  Check S60 to Y60 and S62 to Y62 as well as S91 to Y91 and S93 to Y93.")</f>
        <v xml:space="preserve"> </v>
      </c>
      <c r="G173" s="2" t="str">
        <f t="shared" si="23"/>
        <v xml:space="preserve"> </v>
      </c>
      <c r="H173" s="2">
        <f>IF(AD57=AD85,0,25)</f>
        <v>0</v>
      </c>
      <c r="I173" s="2">
        <v>25</v>
      </c>
      <c r="J173" s="2" t="s">
        <v>241</v>
      </c>
    </row>
    <row r="174" spans="1:10" ht="15.6" hidden="1" x14ac:dyDescent="0.3">
      <c r="A174" s="530"/>
      <c r="B174" s="528" t="s">
        <v>94</v>
      </c>
      <c r="C174" s="197" t="s">
        <v>54</v>
      </c>
      <c r="D174" s="198">
        <f>IF(AB36=AD58,0,1)</f>
        <v>0</v>
      </c>
      <c r="E174" s="198" t="str">
        <f>IF(AB36=AD58," ","ERROR: Female non-teaching staff headcount in table 1 and table 2 do not match.  Check F32 to G32 as well as S48 to Y48 and S50 to Y50.")</f>
        <v xml:space="preserve"> </v>
      </c>
      <c r="G174" s="2" t="str">
        <f t="shared" si="23"/>
        <v xml:space="preserve"> </v>
      </c>
      <c r="H174" s="2">
        <f>IF(AB36=AD58,0,26)</f>
        <v>0</v>
      </c>
      <c r="I174" s="2">
        <v>26</v>
      </c>
      <c r="J174" s="2" t="s">
        <v>242</v>
      </c>
    </row>
    <row r="175" spans="1:10" ht="16.2" hidden="1" thickBot="1" x14ac:dyDescent="0.35">
      <c r="A175" s="531"/>
      <c r="B175" s="533"/>
      <c r="C175" s="202" t="s">
        <v>213</v>
      </c>
      <c r="D175" s="203">
        <f>IF(AD58=AD86,0,1)</f>
        <v>0</v>
      </c>
      <c r="E175" s="232" t="str">
        <f>IF(AD58=AD86," ","ERROR: Female non-teaching staff headcount in table 2 and table 3 do not match.  Check S61 to Y61 and S63 to Y63 as well as S92 to Y92 and S94 to Y94.")</f>
        <v xml:space="preserve"> </v>
      </c>
      <c r="G175" s="2" t="str">
        <f t="shared" si="23"/>
        <v xml:space="preserve"> </v>
      </c>
      <c r="H175" s="2">
        <f>IF(AD58=AD86,0,27)</f>
        <v>0</v>
      </c>
      <c r="I175" s="2">
        <v>27</v>
      </c>
      <c r="J175" s="2" t="s">
        <v>243</v>
      </c>
    </row>
    <row r="176" spans="1:10" ht="16.2" hidden="1" thickBot="1" x14ac:dyDescent="0.35">
      <c r="A176" s="531"/>
      <c r="B176" s="233" t="s">
        <v>21</v>
      </c>
      <c r="C176" s="224" t="s">
        <v>213</v>
      </c>
      <c r="D176" s="226">
        <f>IF(AD55=AD83,0,1)</f>
        <v>0</v>
      </c>
      <c r="E176" s="226" t="str">
        <f>IF(AD55=AD83," ","ERROR: Full-time non-teaching staff headcount in table 2 and table 3 do not match.  Check S52 to Y55 and S83 to Y86.")</f>
        <v xml:space="preserve"> </v>
      </c>
      <c r="G176" s="2" t="str">
        <f>IF(H176=0," ",1)</f>
        <v xml:space="preserve"> </v>
      </c>
      <c r="H176" s="2">
        <f>IF(AD55=AD83,0,28)</f>
        <v>0</v>
      </c>
      <c r="I176" s="2">
        <v>28</v>
      </c>
      <c r="J176" s="2" t="s">
        <v>244</v>
      </c>
    </row>
    <row r="177" spans="1:10" ht="16.2" hidden="1" thickBot="1" x14ac:dyDescent="0.35">
      <c r="A177" s="531"/>
      <c r="B177" s="234" t="s">
        <v>24</v>
      </c>
      <c r="C177" s="222" t="s">
        <v>213</v>
      </c>
      <c r="D177" s="226">
        <f>IF(AD56=AD84,0,1)</f>
        <v>0</v>
      </c>
      <c r="E177" s="226" t="str">
        <f>IF(AD56=AD84," ","ERROR: Part-time non-teaching staff headcount in table 2 and table 3 do not match.  Check S56 to Y59 and S87 to Y90.")</f>
        <v xml:space="preserve"> </v>
      </c>
      <c r="G177" s="2" t="str">
        <f>IF(H177=0," ",1)</f>
        <v xml:space="preserve"> </v>
      </c>
      <c r="H177" s="2">
        <f>IF(AD56=AD84,0,29)</f>
        <v>0</v>
      </c>
      <c r="I177" s="2">
        <v>29</v>
      </c>
      <c r="J177" s="2" t="s">
        <v>245</v>
      </c>
    </row>
    <row r="178" spans="1:10" ht="15.6" hidden="1" x14ac:dyDescent="0.3">
      <c r="A178" s="531"/>
      <c r="B178" s="235" t="s">
        <v>228</v>
      </c>
      <c r="C178" s="218" t="s">
        <v>213</v>
      </c>
      <c r="D178" s="211">
        <f>IF(AD59=AD87,0,1)</f>
        <v>0</v>
      </c>
      <c r="E178" s="212" t="str">
        <f>IF(AD59=AD87," ","ERROR: Non-teaching staff paid £15,000 or less headcount in table 2 and table 3 do not match.  Check S60 to S63 and S91 to S94.")</f>
        <v xml:space="preserve"> </v>
      </c>
      <c r="G178" s="2" t="str">
        <f t="shared" si="23"/>
        <v xml:space="preserve"> </v>
      </c>
      <c r="H178" s="2">
        <f>IF(AD59=AD87,0,30)</f>
        <v>0</v>
      </c>
      <c r="I178" s="2">
        <v>30</v>
      </c>
      <c r="J178" s="2" t="s">
        <v>246</v>
      </c>
    </row>
    <row r="179" spans="1:10" ht="15.6" hidden="1" x14ac:dyDescent="0.3">
      <c r="A179" s="531"/>
      <c r="B179" s="236" t="s">
        <v>130</v>
      </c>
      <c r="C179" s="206" t="s">
        <v>213</v>
      </c>
      <c r="D179" s="220">
        <f>IF(AD60=AD88,0,1)</f>
        <v>0</v>
      </c>
      <c r="E179" s="200" t="str">
        <f>IF(AD60=AD88," ","ERROR: Non-teaching staff paid £15,001 to £20,000 headcount in table 2 and table 3 do not match.  Check T60 to T63 and T91 to T94.")</f>
        <v xml:space="preserve"> </v>
      </c>
      <c r="G179" s="2" t="str">
        <f t="shared" si="23"/>
        <v xml:space="preserve"> </v>
      </c>
      <c r="H179" s="2">
        <f>IF(AD60=AD88,0,31)</f>
        <v>0</v>
      </c>
      <c r="I179" s="2">
        <v>31</v>
      </c>
      <c r="J179" s="2" t="s">
        <v>247</v>
      </c>
    </row>
    <row r="180" spans="1:10" ht="15.6" hidden="1" x14ac:dyDescent="0.3">
      <c r="A180" s="531"/>
      <c r="B180" s="236" t="s">
        <v>131</v>
      </c>
      <c r="C180" s="206" t="s">
        <v>213</v>
      </c>
      <c r="D180" s="220">
        <f>IF(AD61=AD89,0,1)</f>
        <v>0</v>
      </c>
      <c r="E180" s="200" t="str">
        <f>IF(AD61=AD89," ","ERROR: Non-teaching staff paid £20,001 to £30,000 headcount in table 2 and table 3 do not match.  Check U60 to U63 and U91 to U94.")</f>
        <v xml:space="preserve"> </v>
      </c>
      <c r="G180" s="2" t="str">
        <f t="shared" si="23"/>
        <v xml:space="preserve"> </v>
      </c>
      <c r="H180" s="2">
        <f>IF(AD61=AD89,0,32)</f>
        <v>0</v>
      </c>
      <c r="I180" s="2">
        <v>32</v>
      </c>
      <c r="J180" s="2" t="s">
        <v>248</v>
      </c>
    </row>
    <row r="181" spans="1:10" ht="15.6" hidden="1" x14ac:dyDescent="0.3">
      <c r="A181" s="531"/>
      <c r="B181" s="236" t="s">
        <v>132</v>
      </c>
      <c r="C181" s="206" t="s">
        <v>213</v>
      </c>
      <c r="D181" s="220">
        <f>IF(AD62=AD90,0,1)</f>
        <v>0</v>
      </c>
      <c r="E181" s="200" t="str">
        <f>IF(AD62=AD90," ","ERROR: Non-teaching staff paid £30,001 to £50,000 headcount in table 2 and table 3 do not match.  Check V60 to V63 and V91 to V94.")</f>
        <v xml:space="preserve"> </v>
      </c>
      <c r="G181" s="2" t="str">
        <f t="shared" si="23"/>
        <v xml:space="preserve"> </v>
      </c>
      <c r="H181" s="2">
        <f>IF(AD62=AD90,0,33)</f>
        <v>0</v>
      </c>
      <c r="I181" s="2">
        <v>33</v>
      </c>
      <c r="J181" s="2" t="s">
        <v>249</v>
      </c>
    </row>
    <row r="182" spans="1:10" ht="15.6" hidden="1" x14ac:dyDescent="0.3">
      <c r="A182" s="531"/>
      <c r="B182" s="236" t="s">
        <v>133</v>
      </c>
      <c r="C182" s="206" t="s">
        <v>213</v>
      </c>
      <c r="D182" s="220">
        <f>IF(AD64=AD91,0,1)</f>
        <v>0</v>
      </c>
      <c r="E182" s="200" t="str">
        <f>IF(AD64=AD91," ","ERROR:Non-teaching staff paid £50,001 to £75,000 headcount in table 2 and table 3 do not match.  Check W60 to W63 and W91 to W94.")</f>
        <v xml:space="preserve"> </v>
      </c>
      <c r="G182" s="2" t="str">
        <f t="shared" si="23"/>
        <v xml:space="preserve"> </v>
      </c>
      <c r="H182" s="2">
        <f>IF(AD64=AD91,0,34)</f>
        <v>0</v>
      </c>
      <c r="I182" s="2">
        <v>34</v>
      </c>
      <c r="J182" s="2" t="s">
        <v>250</v>
      </c>
    </row>
    <row r="183" spans="1:10" ht="15.6" hidden="1" x14ac:dyDescent="0.3">
      <c r="A183" s="531"/>
      <c r="B183" s="236" t="s">
        <v>136</v>
      </c>
      <c r="C183" s="206" t="s">
        <v>213</v>
      </c>
      <c r="D183" s="220">
        <f>IF(AD65=AD92,0,1)</f>
        <v>0</v>
      </c>
      <c r="E183" s="200" t="str">
        <f>IF(AD65=AD92," ","ERROR: Non-teaching staff paid £75,001 to £100,000 headcount in table 2 and table 3 do not match.  Check X60 to X63 and X91 to X94.")</f>
        <v xml:space="preserve"> </v>
      </c>
      <c r="G183" s="2" t="str">
        <f t="shared" si="23"/>
        <v xml:space="preserve"> </v>
      </c>
      <c r="H183" s="2">
        <f>IF(AD65=AD92,0,35)</f>
        <v>0</v>
      </c>
      <c r="I183" s="2">
        <v>35</v>
      </c>
      <c r="J183" s="2" t="s">
        <v>251</v>
      </c>
    </row>
    <row r="184" spans="1:10" ht="16.2" hidden="1" thickBot="1" x14ac:dyDescent="0.35">
      <c r="A184" s="532"/>
      <c r="B184" s="237" t="s">
        <v>235</v>
      </c>
      <c r="C184" s="207" t="s">
        <v>213</v>
      </c>
      <c r="D184" s="216">
        <f>IF(AD66=AD93,0,1)</f>
        <v>0</v>
      </c>
      <c r="E184" s="203" t="str">
        <f>IF(AD66=AD93," ","ERROR: Non-teaching staff paid greater than £100,000 headcount in table 2 and table 3 do not match.  Check Y60 to Y63 and Y91 to Y94.")</f>
        <v xml:space="preserve"> </v>
      </c>
      <c r="G184" s="2" t="str">
        <f t="shared" si="23"/>
        <v xml:space="preserve"> </v>
      </c>
      <c r="H184" s="2">
        <f>IF(AD66=AD93,0,36)</f>
        <v>0</v>
      </c>
      <c r="I184" s="2">
        <v>36</v>
      </c>
      <c r="J184" s="2" t="s">
        <v>252</v>
      </c>
    </row>
    <row r="185" spans="1:10" ht="15.75" hidden="1" customHeight="1" x14ac:dyDescent="0.3">
      <c r="A185" s="513" t="s">
        <v>253</v>
      </c>
      <c r="B185" s="513" t="s">
        <v>254</v>
      </c>
      <c r="C185" s="204" t="s">
        <v>54</v>
      </c>
      <c r="D185" s="9">
        <f>IF(AB17=AB48,0,1)</f>
        <v>0</v>
      </c>
      <c r="E185" s="198" t="str">
        <f>IF(AB17=AB48," ","ERROR: Total teaching headcount in table 1 and table 2 do not match.  Check D31 to E32 and S47 to Y50.")</f>
        <v xml:space="preserve"> </v>
      </c>
      <c r="G185" s="2" t="str">
        <f t="shared" si="23"/>
        <v xml:space="preserve"> </v>
      </c>
      <c r="H185" s="2">
        <f>IF(AB17=AB48,0,37)</f>
        <v>0</v>
      </c>
      <c r="I185" s="2">
        <v>37</v>
      </c>
      <c r="J185" s="2" t="s">
        <v>255</v>
      </c>
    </row>
    <row r="186" spans="1:10" ht="15.75" hidden="1" customHeight="1" x14ac:dyDescent="0.3">
      <c r="A186" s="515"/>
      <c r="B186" s="516"/>
      <c r="C186" s="206" t="s">
        <v>213</v>
      </c>
      <c r="D186" s="205">
        <f>IF(AB48=AB80,0,1)</f>
        <v>0</v>
      </c>
      <c r="E186" s="200" t="str">
        <f>IF(AB48=AB80," ","ERROR: Total teaching headcount in table 2 and table 3 do not match.  Check S47 to Y50 and S78 to Y81.")</f>
        <v xml:space="preserve"> </v>
      </c>
      <c r="G186" s="2" t="str">
        <f>IF(H186=0," ",1)</f>
        <v xml:space="preserve"> </v>
      </c>
      <c r="H186" s="2">
        <f>IF(AB48=AB80,0,38)</f>
        <v>0</v>
      </c>
      <c r="I186" s="2">
        <v>38</v>
      </c>
      <c r="J186" s="2" t="s">
        <v>256</v>
      </c>
    </row>
    <row r="187" spans="1:10" ht="16.2" hidden="1" thickBot="1" x14ac:dyDescent="0.35">
      <c r="A187" s="515"/>
      <c r="B187" s="517"/>
      <c r="C187" s="207" t="s">
        <v>215</v>
      </c>
      <c r="D187" s="208">
        <f>IF(AB80=AB112,0,1)</f>
        <v>0</v>
      </c>
      <c r="E187" s="203" t="str">
        <f>IF(AB80=AB112," ","ERROR: Total teaching staff headcount in table 3 and table 4 do not match.  Check S78 to Y81 and L109 to L112.")</f>
        <v xml:space="preserve"> </v>
      </c>
      <c r="G187" s="2" t="str">
        <f>IF(H187=0," ",1)</f>
        <v xml:space="preserve"> </v>
      </c>
      <c r="H187" s="2">
        <f>IF(AB80=AB112,0,39)</f>
        <v>0</v>
      </c>
      <c r="I187" s="2">
        <v>39</v>
      </c>
      <c r="J187" s="2" t="s">
        <v>257</v>
      </c>
    </row>
    <row r="188" spans="1:10" ht="15.6" hidden="1" x14ac:dyDescent="0.3">
      <c r="A188" s="515"/>
      <c r="B188" s="513" t="s">
        <v>258</v>
      </c>
      <c r="C188" s="218" t="s">
        <v>54</v>
      </c>
      <c r="D188" s="198">
        <f>IF(AB22=AD48,0,1)</f>
        <v>0</v>
      </c>
      <c r="E188" s="198" t="str">
        <f>IF(AB22=AD48," ","ERROR: Total non-teaching staff headcount in table 1 and table 2 do not match.  Check F31 to G32 and S60 to Y63.")</f>
        <v xml:space="preserve"> </v>
      </c>
      <c r="G188" s="2" t="str">
        <f>IF(H188=0," ",1)</f>
        <v xml:space="preserve"> </v>
      </c>
      <c r="H188" s="2">
        <f>IF(AB22=AD48,0,40)</f>
        <v>0</v>
      </c>
      <c r="I188" s="2">
        <v>40</v>
      </c>
      <c r="J188" s="2" t="s">
        <v>259</v>
      </c>
    </row>
    <row r="189" spans="1:10" ht="16.2" hidden="1" thickBot="1" x14ac:dyDescent="0.35">
      <c r="A189" s="514"/>
      <c r="B189" s="514"/>
      <c r="C189" s="207" t="s">
        <v>213</v>
      </c>
      <c r="D189" s="203">
        <f>IF(AD48=AD80,0,1)</f>
        <v>0</v>
      </c>
      <c r="E189" s="203" t="str">
        <f>IF(AD48=AD80," ","ERROR: Total non-teaching staff headcount in table 2 and table 3 do not match.  Check S60 to Y63 and S91 to Y94.")</f>
        <v xml:space="preserve"> </v>
      </c>
      <c r="H189" s="2">
        <f>IF(AD48=AD80,0,41)</f>
        <v>0</v>
      </c>
      <c r="I189" s="2">
        <v>41</v>
      </c>
      <c r="J189" s="2" t="s">
        <v>260</v>
      </c>
    </row>
    <row r="190" spans="1:10" ht="0" hidden="1" customHeight="1" x14ac:dyDescent="0.3"/>
    <row r="191" spans="1:10" ht="0" hidden="1" customHeight="1" x14ac:dyDescent="0.3"/>
    <row r="192" spans="1:10" ht="0" hidden="1" customHeight="1" x14ac:dyDescent="0.3"/>
    <row r="193" ht="0" hidden="1" customHeight="1" x14ac:dyDescent="0.3"/>
    <row r="194" ht="0" hidden="1" customHeight="1" x14ac:dyDescent="0.3"/>
    <row r="195" ht="0" hidden="1" customHeight="1" x14ac:dyDescent="0.3"/>
    <row r="196" ht="0" hidden="1" customHeight="1" x14ac:dyDescent="0.3"/>
    <row r="197" ht="0" hidden="1" customHeight="1" x14ac:dyDescent="0.3"/>
    <row r="198" ht="0" hidden="1" customHeight="1" x14ac:dyDescent="0.3"/>
  </sheetData>
  <sortState xmlns:xlrd2="http://schemas.microsoft.com/office/spreadsheetml/2017/richdata2" ref="B134:B140">
    <sortCondition ref="B134"/>
  </sortState>
  <mergeCells count="134">
    <mergeCell ref="B188:B189"/>
    <mergeCell ref="A185:A189"/>
    <mergeCell ref="B185:B187"/>
    <mergeCell ref="E143:F143"/>
    <mergeCell ref="A149:A169"/>
    <mergeCell ref="B149:B151"/>
    <mergeCell ref="B152:B154"/>
    <mergeCell ref="B155:B156"/>
    <mergeCell ref="B161:B162"/>
    <mergeCell ref="A170:A184"/>
    <mergeCell ref="B172:B173"/>
    <mergeCell ref="B174:B175"/>
    <mergeCell ref="B157:B158"/>
    <mergeCell ref="B159:B160"/>
    <mergeCell ref="C143:D143"/>
    <mergeCell ref="AA128:AB128"/>
    <mergeCell ref="C129:D129"/>
    <mergeCell ref="E129:E132"/>
    <mergeCell ref="F129:F132"/>
    <mergeCell ref="G129:G132"/>
    <mergeCell ref="I129:I132"/>
    <mergeCell ref="C130:C132"/>
    <mergeCell ref="D130:D132"/>
    <mergeCell ref="A110:A124"/>
    <mergeCell ref="B110:B112"/>
    <mergeCell ref="C110:C112"/>
    <mergeCell ref="D110:L110"/>
    <mergeCell ref="D111:F111"/>
    <mergeCell ref="G111:I111"/>
    <mergeCell ref="J111:L111"/>
    <mergeCell ref="AA111:AB111"/>
    <mergeCell ref="B113:B116"/>
    <mergeCell ref="B117:B120"/>
    <mergeCell ref="B121:B124"/>
    <mergeCell ref="A128:A142"/>
    <mergeCell ref="B128:B132"/>
    <mergeCell ref="C128:G128"/>
    <mergeCell ref="AA2:AC9"/>
    <mergeCell ref="H2:I2"/>
    <mergeCell ref="F4:I4"/>
    <mergeCell ref="F5:I5"/>
    <mergeCell ref="F6:I6"/>
    <mergeCell ref="F3:I3"/>
    <mergeCell ref="AA47:AD47"/>
    <mergeCell ref="E49:K49"/>
    <mergeCell ref="L49:R49"/>
    <mergeCell ref="S49:Y49"/>
    <mergeCell ref="D16:H18"/>
    <mergeCell ref="E48:K48"/>
    <mergeCell ref="L48:R48"/>
    <mergeCell ref="S48:Y48"/>
    <mergeCell ref="D47:D50"/>
    <mergeCell ref="E47:Y47"/>
    <mergeCell ref="AA10:AB10"/>
    <mergeCell ref="J11:J14"/>
    <mergeCell ref="K11:N14"/>
    <mergeCell ref="AA16:AB16"/>
    <mergeCell ref="D19:E19"/>
    <mergeCell ref="F19:F22"/>
    <mergeCell ref="G19:G22"/>
    <mergeCell ref="H19:H22"/>
    <mergeCell ref="C59:C60"/>
    <mergeCell ref="C61:C62"/>
    <mergeCell ref="K8:N8"/>
    <mergeCell ref="J9:J10"/>
    <mergeCell ref="K9:N10"/>
    <mergeCell ref="B43:B44"/>
    <mergeCell ref="B47:B50"/>
    <mergeCell ref="C47:C50"/>
    <mergeCell ref="B37:B38"/>
    <mergeCell ref="B39:B40"/>
    <mergeCell ref="B41:B42"/>
    <mergeCell ref="D20:D22"/>
    <mergeCell ref="E20:E22"/>
    <mergeCell ref="B35:B36"/>
    <mergeCell ref="B16:B22"/>
    <mergeCell ref="C16:C22"/>
    <mergeCell ref="C51:C52"/>
    <mergeCell ref="C53:C54"/>
    <mergeCell ref="B55:B58"/>
    <mergeCell ref="C55:C56"/>
    <mergeCell ref="C57:C58"/>
    <mergeCell ref="L79:R79"/>
    <mergeCell ref="S79:Y79"/>
    <mergeCell ref="A79:A81"/>
    <mergeCell ref="B79:B81"/>
    <mergeCell ref="C79:C81"/>
    <mergeCell ref="D79:D81"/>
    <mergeCell ref="AA79:AD79"/>
    <mergeCell ref="E80:K80"/>
    <mergeCell ref="L80:R80"/>
    <mergeCell ref="S80:Y80"/>
    <mergeCell ref="E79:K79"/>
    <mergeCell ref="A95:A106"/>
    <mergeCell ref="B95:B98"/>
    <mergeCell ref="C95:C96"/>
    <mergeCell ref="C97:C98"/>
    <mergeCell ref="B99:B102"/>
    <mergeCell ref="C99:C100"/>
    <mergeCell ref="C101:C102"/>
    <mergeCell ref="B103:B106"/>
    <mergeCell ref="C103:C104"/>
    <mergeCell ref="C105:C106"/>
    <mergeCell ref="C64:C65"/>
    <mergeCell ref="C66:C67"/>
    <mergeCell ref="B68:B71"/>
    <mergeCell ref="C68:C69"/>
    <mergeCell ref="C70:C71"/>
    <mergeCell ref="B72:B75"/>
    <mergeCell ref="C72:C73"/>
    <mergeCell ref="C74:C75"/>
    <mergeCell ref="A82:A93"/>
    <mergeCell ref="B82:B85"/>
    <mergeCell ref="C82:C83"/>
    <mergeCell ref="C84:C85"/>
    <mergeCell ref="B86:B89"/>
    <mergeCell ref="C86:C87"/>
    <mergeCell ref="C88:C89"/>
    <mergeCell ref="B90:B93"/>
    <mergeCell ref="C90:C91"/>
    <mergeCell ref="C92:C93"/>
    <mergeCell ref="A51:A62"/>
    <mergeCell ref="B27:B28"/>
    <mergeCell ref="B29:B30"/>
    <mergeCell ref="B31:B32"/>
    <mergeCell ref="B33:B34"/>
    <mergeCell ref="B23:B24"/>
    <mergeCell ref="B25:B26"/>
    <mergeCell ref="A64:A75"/>
    <mergeCell ref="B64:B67"/>
    <mergeCell ref="B51:B54"/>
    <mergeCell ref="A16:A44"/>
    <mergeCell ref="A47:A50"/>
    <mergeCell ref="B59:B62"/>
  </mergeCells>
  <conditionalFormatting sqref="S90:Y90 S92:Y92">
    <cfRule type="expression" dxfId="77" priority="74">
      <formula>$H$156&gt;0</formula>
    </cfRule>
  </conditionalFormatting>
  <conditionalFormatting sqref="S91:Y91 S93:Y93">
    <cfRule type="expression" dxfId="76" priority="72">
      <formula>$H$158&gt;0</formula>
    </cfRule>
  </conditionalFormatting>
  <conditionalFormatting sqref="S59:S62">
    <cfRule type="expression" dxfId="75" priority="71">
      <formula>$H$163&gt;0</formula>
    </cfRule>
  </conditionalFormatting>
  <conditionalFormatting sqref="S90:S93">
    <cfRule type="expression" dxfId="74" priority="70">
      <formula>$H$163&gt;0</formula>
    </cfRule>
  </conditionalFormatting>
  <conditionalFormatting sqref="T59:T62">
    <cfRule type="expression" dxfId="73" priority="69">
      <formula>$H$164&gt;0</formula>
    </cfRule>
  </conditionalFormatting>
  <conditionalFormatting sqref="T90:T93">
    <cfRule type="expression" dxfId="72" priority="68">
      <formula>$H$164&gt;0</formula>
    </cfRule>
  </conditionalFormatting>
  <conditionalFormatting sqref="U59:U62">
    <cfRule type="expression" dxfId="71" priority="67">
      <formula>$H$165&gt;0</formula>
    </cfRule>
  </conditionalFormatting>
  <conditionalFormatting sqref="U90:U93">
    <cfRule type="expression" dxfId="70" priority="66">
      <formula>$H$165&gt;0</formula>
    </cfRule>
  </conditionalFormatting>
  <conditionalFormatting sqref="V59:V62">
    <cfRule type="expression" dxfId="69" priority="65">
      <formula>$H$166&gt;0</formula>
    </cfRule>
  </conditionalFormatting>
  <conditionalFormatting sqref="V90:V93">
    <cfRule type="expression" dxfId="68" priority="64">
      <formula>$H$166&gt;0</formula>
    </cfRule>
  </conditionalFormatting>
  <conditionalFormatting sqref="W59:W62">
    <cfRule type="expression" dxfId="67" priority="63">
      <formula>$H$167&gt;0</formula>
    </cfRule>
  </conditionalFormatting>
  <conditionalFormatting sqref="W90:W93">
    <cfRule type="expression" dxfId="66" priority="62">
      <formula>$H$167&gt;0</formula>
    </cfRule>
  </conditionalFormatting>
  <conditionalFormatting sqref="X59:X62">
    <cfRule type="expression" dxfId="65" priority="61">
      <formula>$H$168&gt;0</formula>
    </cfRule>
  </conditionalFormatting>
  <conditionalFormatting sqref="X90:X93">
    <cfRule type="expression" dxfId="64" priority="60">
      <formula>$H$168&gt;0</formula>
    </cfRule>
  </conditionalFormatting>
  <conditionalFormatting sqref="Y59:Y62">
    <cfRule type="expression" dxfId="63" priority="59">
      <formula>$H$169&gt;0</formula>
    </cfRule>
  </conditionalFormatting>
  <conditionalFormatting sqref="Y90:Y93">
    <cfRule type="expression" dxfId="62" priority="58">
      <formula>$H$169&gt;0</formula>
    </cfRule>
  </conditionalFormatting>
  <conditionalFormatting sqref="I121:I124">
    <cfRule type="expression" dxfId="61" priority="82">
      <formula>$H$154&gt;0</formula>
    </cfRule>
  </conditionalFormatting>
  <conditionalFormatting sqref="L121:L124">
    <cfRule type="expression" dxfId="60" priority="54">
      <formula>$H$187&gt;0</formula>
    </cfRule>
  </conditionalFormatting>
  <conditionalFormatting sqref="S51:Y54">
    <cfRule type="expression" dxfId="59" priority="53">
      <formula>$H$159&gt;0</formula>
    </cfRule>
  </conditionalFormatting>
  <conditionalFormatting sqref="J121:J124">
    <cfRule type="expression" dxfId="58" priority="50">
      <formula>$H$160&gt;0</formula>
    </cfRule>
  </conditionalFormatting>
  <conditionalFormatting sqref="S55:Y58">
    <cfRule type="expression" dxfId="57" priority="49">
      <formula>$H$161&gt;0</formula>
    </cfRule>
  </conditionalFormatting>
  <conditionalFormatting sqref="K121:K124">
    <cfRule type="expression" dxfId="56" priority="46">
      <formula>$H$162&gt;0</formula>
    </cfRule>
  </conditionalFormatting>
  <conditionalFormatting sqref="D43:G44">
    <cfRule type="expression" dxfId="55" priority="45">
      <formula>$H$149&gt;0</formula>
    </cfRule>
  </conditionalFormatting>
  <conditionalFormatting sqref="D43:G43">
    <cfRule type="expression" dxfId="54" priority="43">
      <formula>$H$155&gt;0</formula>
    </cfRule>
  </conditionalFormatting>
  <conditionalFormatting sqref="D44:G44">
    <cfRule type="expression" dxfId="53" priority="42">
      <formula>$H$157&gt;0</formula>
    </cfRule>
  </conditionalFormatting>
  <conditionalFormatting sqref="D43:G44">
    <cfRule type="expression" dxfId="52" priority="41">
      <formula>$H$185&gt;0</formula>
    </cfRule>
  </conditionalFormatting>
  <conditionalFormatting sqref="F121:F124">
    <cfRule type="expression" dxfId="51" priority="34">
      <formula>$H$151&gt;0</formula>
    </cfRule>
  </conditionalFormatting>
  <conditionalFormatting sqref="S60:Y60 S62:Y62">
    <cfRule type="expression" dxfId="50" priority="35">
      <formula>$H$157&gt;0</formula>
    </cfRule>
    <cfRule type="expression" dxfId="49" priority="73">
      <formula>$H$158&gt;0</formula>
    </cfRule>
  </conditionalFormatting>
  <conditionalFormatting sqref="S61:Y62">
    <cfRule type="expression" dxfId="48" priority="36">
      <formula>$H$152&gt;0</formula>
    </cfRule>
    <cfRule type="expression" dxfId="47" priority="81">
      <formula>$H$153&gt;0</formula>
    </cfRule>
  </conditionalFormatting>
  <conditionalFormatting sqref="S59:Y60">
    <cfRule type="expression" dxfId="46" priority="37">
      <formula>$H$149&gt;0</formula>
    </cfRule>
    <cfRule type="expression" dxfId="45" priority="80">
      <formula>$H$150&gt;0</formula>
    </cfRule>
  </conditionalFormatting>
  <conditionalFormatting sqref="S59:Y59 S61:Y61">
    <cfRule type="expression" dxfId="44" priority="38">
      <formula>$H$155&gt;0</formula>
    </cfRule>
    <cfRule type="expression" dxfId="43" priority="75">
      <formula>$H$156&gt;0</formula>
    </cfRule>
  </conditionalFormatting>
  <conditionalFormatting sqref="S59:Y62">
    <cfRule type="expression" dxfId="42" priority="39">
      <formula>$H$185&gt;0</formula>
    </cfRule>
    <cfRule type="expression" dxfId="41" priority="57">
      <formula>$H$186&gt;0</formula>
    </cfRule>
  </conditionalFormatting>
  <conditionalFormatting sqref="S86:Y89">
    <cfRule type="expression" dxfId="40" priority="47">
      <formula>$H$162&gt;0</formula>
    </cfRule>
    <cfRule type="expression" dxfId="39" priority="48">
      <formula>$H$161&gt;0</formula>
    </cfRule>
  </conditionalFormatting>
  <conditionalFormatting sqref="S82:Y85">
    <cfRule type="expression" dxfId="38" priority="51">
      <formula>$H$160&gt;0</formula>
    </cfRule>
    <cfRule type="expression" dxfId="37" priority="52">
      <formula>$H$159&gt;0</formula>
    </cfRule>
  </conditionalFormatting>
  <conditionalFormatting sqref="S90:Y93">
    <cfRule type="expression" dxfId="36" priority="55">
      <formula>$H$187&gt;0</formula>
    </cfRule>
    <cfRule type="expression" dxfId="35" priority="56">
      <formula>$H$186&gt;0</formula>
    </cfRule>
  </conditionalFormatting>
  <conditionalFormatting sqref="S92:Y93">
    <cfRule type="expression" dxfId="34" priority="76">
      <formula>$H$154&gt;0</formula>
    </cfRule>
    <cfRule type="expression" dxfId="33" priority="77">
      <formula>$H$153&gt;0</formula>
    </cfRule>
  </conditionalFormatting>
  <conditionalFormatting sqref="S90:Y91">
    <cfRule type="expression" dxfId="32" priority="78">
      <formula>$H$151&gt;0</formula>
    </cfRule>
    <cfRule type="expression" dxfId="31" priority="79">
      <formula>$H$150&gt;0</formula>
    </cfRule>
  </conditionalFormatting>
  <conditionalFormatting sqref="S72:Y73">
    <cfRule type="expression" dxfId="30" priority="33">
      <formula>$H$170&gt;0</formula>
    </cfRule>
  </conditionalFormatting>
  <conditionalFormatting sqref="S103:Y104">
    <cfRule type="expression" dxfId="29" priority="32">
      <formula>$H$170&gt;0</formula>
    </cfRule>
  </conditionalFormatting>
  <conditionalFormatting sqref="S74:Y75">
    <cfRule type="expression" dxfId="28" priority="31">
      <formula>$H$171&gt;0</formula>
    </cfRule>
  </conditionalFormatting>
  <conditionalFormatting sqref="S105:Y106">
    <cfRule type="expression" dxfId="27" priority="30">
      <formula>$H$171&gt;0</formula>
    </cfRule>
  </conditionalFormatting>
  <conditionalFormatting sqref="S103:Y103 S105:Y105">
    <cfRule type="expression" dxfId="26" priority="26">
      <formula>$H$173&gt;0</formula>
    </cfRule>
  </conditionalFormatting>
  <conditionalFormatting sqref="S104:Y104 S106:Y106">
    <cfRule type="expression" dxfId="25" priority="23">
      <formula>$H$175&gt;0</formula>
    </cfRule>
  </conditionalFormatting>
  <conditionalFormatting sqref="S64:Y67">
    <cfRule type="expression" dxfId="24" priority="22">
      <formula>$H$176&gt;0</formula>
    </cfRule>
  </conditionalFormatting>
  <conditionalFormatting sqref="S95:Y98">
    <cfRule type="expression" dxfId="23" priority="21">
      <formula>$H$176&gt;0</formula>
    </cfRule>
  </conditionalFormatting>
  <conditionalFormatting sqref="S68:Y71">
    <cfRule type="expression" dxfId="22" priority="20">
      <formula>$H$177&gt;0</formula>
    </cfRule>
  </conditionalFormatting>
  <conditionalFormatting sqref="S99:Y102">
    <cfRule type="expression" dxfId="21" priority="19">
      <formula>$H$177&gt;0</formula>
    </cfRule>
  </conditionalFormatting>
  <conditionalFormatting sqref="S72:S75">
    <cfRule type="expression" dxfId="20" priority="18">
      <formula>$H$178&gt;0</formula>
    </cfRule>
  </conditionalFormatting>
  <conditionalFormatting sqref="S103:S106">
    <cfRule type="expression" dxfId="19" priority="17">
      <formula>$H$178&gt;0</formula>
    </cfRule>
  </conditionalFormatting>
  <conditionalFormatting sqref="T72:T75">
    <cfRule type="expression" dxfId="18" priority="16">
      <formula>$H$179&gt;0</formula>
    </cfRule>
  </conditionalFormatting>
  <conditionalFormatting sqref="T103:T106">
    <cfRule type="expression" dxfId="17" priority="15">
      <formula>$H$179&gt;0</formula>
    </cfRule>
  </conditionalFormatting>
  <conditionalFormatting sqref="U72:U75">
    <cfRule type="expression" dxfId="16" priority="14">
      <formula>$H$180&gt;0</formula>
    </cfRule>
  </conditionalFormatting>
  <conditionalFormatting sqref="U103:U106">
    <cfRule type="expression" dxfId="15" priority="13">
      <formula>$H$180&gt;0</formula>
    </cfRule>
  </conditionalFormatting>
  <conditionalFormatting sqref="V72:V75">
    <cfRule type="expression" dxfId="14" priority="12">
      <formula>$H$181&gt;0</formula>
    </cfRule>
  </conditionalFormatting>
  <conditionalFormatting sqref="V103:V106">
    <cfRule type="expression" dxfId="13" priority="11">
      <formula>$H$181&gt;0</formula>
    </cfRule>
  </conditionalFormatting>
  <conditionalFormatting sqref="W72:W75">
    <cfRule type="expression" dxfId="12" priority="10">
      <formula>$H$182&gt;0</formula>
    </cfRule>
  </conditionalFormatting>
  <conditionalFormatting sqref="W103:W106">
    <cfRule type="expression" dxfId="11" priority="9">
      <formula>$H$182&gt;0</formula>
    </cfRule>
  </conditionalFormatting>
  <conditionalFormatting sqref="X72:X75">
    <cfRule type="expression" dxfId="10" priority="8">
      <formula>$H$183&gt;0</formula>
    </cfRule>
  </conditionalFormatting>
  <conditionalFormatting sqref="X103:X106">
    <cfRule type="expression" dxfId="9" priority="7">
      <formula>$H$183&gt;0</formula>
    </cfRule>
  </conditionalFormatting>
  <conditionalFormatting sqref="Y72:Y75">
    <cfRule type="expression" dxfId="8" priority="6">
      <formula>$H$184&gt;0</formula>
    </cfRule>
  </conditionalFormatting>
  <conditionalFormatting sqref="Y103:Y106">
    <cfRule type="expression" dxfId="7" priority="5">
      <formula>$H$184&gt;0</formula>
    </cfRule>
  </conditionalFormatting>
  <conditionalFormatting sqref="S72:Y72 S74:Y74">
    <cfRule type="expression" dxfId="6" priority="27">
      <formula>$H$173&gt;0</formula>
    </cfRule>
    <cfRule type="expression" dxfId="5" priority="28">
      <formula>$H$172&gt;0</formula>
    </cfRule>
  </conditionalFormatting>
  <conditionalFormatting sqref="S73:Y73 S75:Y75">
    <cfRule type="expression" dxfId="4" priority="1">
      <formula>$H$174&gt;0</formula>
    </cfRule>
    <cfRule type="expression" dxfId="3" priority="24">
      <formula>$H$175&gt;0</formula>
    </cfRule>
  </conditionalFormatting>
  <conditionalFormatting sqref="S72:Y75">
    <cfRule type="expression" dxfId="2" priority="83">
      <formula>$H$189&gt;0</formula>
    </cfRule>
    <cfRule type="expression" dxfId="1" priority="84">
      <formula>$H$188&gt;0</formula>
    </cfRule>
  </conditionalFormatting>
  <conditionalFormatting sqref="S103:Y106">
    <cfRule type="expression" dxfId="0" priority="85">
      <formula>$H$189&gt;0</formula>
    </cfRule>
  </conditionalFormatting>
  <pageMargins left="0.7" right="0.7" top="0.75" bottom="0.75" header="0.3" footer="0.3"/>
  <pageSetup paperSize="9" orientation="portrait" r:id="rId1"/>
  <ignoredErrors>
    <ignoredError sqref="F121:F124 I121:I12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Drop Down 2">
              <controlPr defaultSize="0" autoLine="0" autoPict="0" altText="Please select College">
                <anchor moveWithCells="1">
                  <from>
                    <xdr:col>5</xdr:col>
                    <xdr:colOff>0</xdr:colOff>
                    <xdr:row>1</xdr:row>
                    <xdr:rowOff>7620</xdr:rowOff>
                  </from>
                  <to>
                    <xdr:col>6</xdr:col>
                    <xdr:colOff>731520</xdr:colOff>
                    <xdr:row>1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8"/>
  <sheetViews>
    <sheetView workbookViewId="0">
      <selection activeCell="E26" sqref="E26"/>
    </sheetView>
  </sheetViews>
  <sheetFormatPr defaultRowHeight="14.4" x14ac:dyDescent="0.3"/>
  <cols>
    <col min="1" max="1" width="27.5546875" customWidth="1"/>
  </cols>
  <sheetData>
    <row r="1" spans="1:2" x14ac:dyDescent="0.3">
      <c r="A1" t="s">
        <v>261</v>
      </c>
    </row>
    <row r="2" spans="1:2" x14ac:dyDescent="0.3">
      <c r="A2" t="s">
        <v>262</v>
      </c>
      <c r="B2">
        <v>7005321</v>
      </c>
    </row>
    <row r="3" spans="1:2" x14ac:dyDescent="0.3">
      <c r="A3" t="s">
        <v>263</v>
      </c>
      <c r="B3">
        <v>1003356</v>
      </c>
    </row>
    <row r="4" spans="1:2" x14ac:dyDescent="0.3">
      <c r="A4" t="s">
        <v>79</v>
      </c>
      <c r="B4">
        <v>5660459</v>
      </c>
    </row>
    <row r="5" spans="1:2" x14ac:dyDescent="0.3">
      <c r="A5" t="s">
        <v>87</v>
      </c>
      <c r="B5">
        <v>8460500</v>
      </c>
    </row>
    <row r="6" spans="1:2" x14ac:dyDescent="0.3">
      <c r="A6" t="s">
        <v>264</v>
      </c>
      <c r="B6">
        <v>1002856</v>
      </c>
    </row>
    <row r="7" spans="1:2" x14ac:dyDescent="0.3">
      <c r="A7" t="s">
        <v>104</v>
      </c>
      <c r="B7">
        <v>5960258</v>
      </c>
    </row>
    <row r="8" spans="1:2" x14ac:dyDescent="0.3">
      <c r="A8" t="s">
        <v>265</v>
      </c>
      <c r="B8">
        <v>1002953</v>
      </c>
    </row>
    <row r="9" spans="1:2" x14ac:dyDescent="0.3">
      <c r="A9" t="s">
        <v>266</v>
      </c>
      <c r="B9">
        <v>5460352</v>
      </c>
    </row>
    <row r="10" spans="1:2" x14ac:dyDescent="0.3">
      <c r="A10" t="s">
        <v>110</v>
      </c>
      <c r="B10">
        <v>5760500</v>
      </c>
    </row>
    <row r="11" spans="1:2" x14ac:dyDescent="0.3">
      <c r="A11" t="s">
        <v>267</v>
      </c>
      <c r="B11">
        <v>1003453</v>
      </c>
    </row>
    <row r="12" spans="1:2" x14ac:dyDescent="0.3">
      <c r="A12" t="s">
        <v>268</v>
      </c>
      <c r="B12">
        <v>1003151</v>
      </c>
    </row>
    <row r="13" spans="1:2" x14ac:dyDescent="0.3">
      <c r="A13" t="s">
        <v>269</v>
      </c>
      <c r="B13">
        <v>5160553</v>
      </c>
    </row>
    <row r="14" spans="1:2" x14ac:dyDescent="0.3">
      <c r="A14" t="s">
        <v>122</v>
      </c>
      <c r="B14">
        <v>6232655</v>
      </c>
    </row>
    <row r="15" spans="1:2" x14ac:dyDescent="0.3">
      <c r="A15" t="s">
        <v>125</v>
      </c>
      <c r="B15">
        <v>5260051</v>
      </c>
    </row>
    <row r="16" spans="1:2" x14ac:dyDescent="0.3">
      <c r="A16" t="s">
        <v>270</v>
      </c>
      <c r="B16">
        <v>1003550</v>
      </c>
    </row>
    <row r="17" spans="1:2" x14ac:dyDescent="0.3">
      <c r="A17" t="s">
        <v>171</v>
      </c>
      <c r="B17">
        <v>5560853</v>
      </c>
    </row>
    <row r="18" spans="1:2" x14ac:dyDescent="0.3">
      <c r="A18" t="s">
        <v>271</v>
      </c>
      <c r="B18">
        <v>5261651</v>
      </c>
    </row>
    <row r="19" spans="1:2" x14ac:dyDescent="0.3">
      <c r="A19" t="s">
        <v>272</v>
      </c>
      <c r="B19">
        <v>5160057</v>
      </c>
    </row>
    <row r="20" spans="1:2" x14ac:dyDescent="0.3">
      <c r="A20" t="s">
        <v>273</v>
      </c>
      <c r="B20">
        <v>6002757</v>
      </c>
    </row>
    <row r="21" spans="1:2" x14ac:dyDescent="0.3">
      <c r="A21" t="s">
        <v>274</v>
      </c>
      <c r="B21">
        <v>5360455</v>
      </c>
    </row>
    <row r="22" spans="1:2" x14ac:dyDescent="0.3">
      <c r="A22" t="s">
        <v>275</v>
      </c>
      <c r="B22">
        <v>5160650</v>
      </c>
    </row>
    <row r="23" spans="1:2" x14ac:dyDescent="0.3">
      <c r="A23" t="s">
        <v>276</v>
      </c>
      <c r="B23">
        <v>6103650</v>
      </c>
    </row>
    <row r="24" spans="1:2" x14ac:dyDescent="0.3">
      <c r="A24" t="s">
        <v>277</v>
      </c>
      <c r="B24">
        <v>1003259</v>
      </c>
    </row>
    <row r="25" spans="1:2" x14ac:dyDescent="0.3">
      <c r="A25" t="s">
        <v>151</v>
      </c>
      <c r="B25">
        <v>8461652</v>
      </c>
    </row>
    <row r="26" spans="1:2" x14ac:dyDescent="0.3">
      <c r="A26" t="s">
        <v>278</v>
      </c>
      <c r="B26">
        <v>1003054</v>
      </c>
    </row>
    <row r="27" spans="1:2" x14ac:dyDescent="0.3">
      <c r="A27" t="s">
        <v>279</v>
      </c>
      <c r="B27">
        <v>3004325</v>
      </c>
    </row>
    <row r="28" spans="1:2" x14ac:dyDescent="0.3">
      <c r="A28" t="s">
        <v>159</v>
      </c>
      <c r="B28">
        <v>5560659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MYDOC-952800175-23815</_dlc_DocId>
    <_dlc_DocIdUrl xmlns="76699e94-5373-4908-8786-85f2fbc6030f">
      <Url>https://sfcacuk.sharepoint.com/sites/MyDoc/_layouts/15/DocIdRedir.aspx?ID=MYDOC-952800175-23815</Url>
      <Description>MYDOC-952800175-23815</Description>
    </_dlc_DocIdUrl>
    <EmailCC xmlns="846980c5-3db8-44b0-935b-312affdd1e17" xsi:nil="true"/>
    <OfficialDate xmlns="846980c5-3db8-44b0-935b-312affdd1e17" xsi:nil="true"/>
    <MigratedLivelinkNodeID xmlns="846980c5-3db8-44b0-935b-312affdd1e17" xsi:nil="true"/>
    <EmailFrom xmlns="846980c5-3db8-44b0-935b-312affdd1e17" xsi:nil="true"/>
    <EmailTo xmlns="846980c5-3db8-44b0-935b-312affdd1e17" xsi:nil="true"/>
    <TaxCatchAll xmlns="76699e94-5373-4908-8786-85f2fbc6030f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1" ma:contentTypeDescription="Create a new document." ma:contentTypeScope="" ma:versionID="6a458fbaa13c243d3d0155551a199bf4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c0899bffc5b55343e9bc3a0992e4e72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09BB4-8531-4642-9024-EC6BE4FAF7F2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76699e94-5373-4908-8786-85f2fbc6030f"/>
    <ds:schemaRef ds:uri="846980c5-3db8-44b0-935b-312affdd1e1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DD11AA-5E40-4FCC-91F5-1EA4558113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598A3F-3C7C-4554-BE67-DAD84549B76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9348CC1-08B3-42B1-A20F-A9B6063D1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FTEs</vt:lpstr>
      <vt:lpstr>Headcounts</vt:lpstr>
      <vt:lpstr>Colleges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Staffing Return for 2021-22 pro-forma</dc:title>
  <dc:subject/>
  <dc:creator>Michelle McNeill</dc:creator>
  <cp:keywords/>
  <dc:description/>
  <cp:lastModifiedBy>Michelle McNeill</cp:lastModifiedBy>
  <cp:revision/>
  <dcterms:created xsi:type="dcterms:W3CDTF">2016-05-06T09:20:48Z</dcterms:created>
  <dcterms:modified xsi:type="dcterms:W3CDTF">2022-09-26T11:55:15Z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a72ec2b9-8885-461d-8f6d-ec88adfb5f48</vt:lpwstr>
  </property>
  <property fmtid="{D5CDD505-2E9C-101B-9397-08002B2CF9AE}" pid="4" name="MediaServiceImageTags">
    <vt:lpwstr/>
  </property>
</Properties>
</file>